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4d8cXcjIQJHJp8x2vCFh8+aVB9Mhg4eL6Gfqime00y+VPYLGXgvfjBFkBT6B9h57gK2YcozofEY9A6jKlYsg3Q==" saltValue="DKtPSOcTT2MYHu06IFQIlg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EP SPP Trans Formula Rates PSO SWE OKT SWT\2019 Annual Update\Filing 5-28-19 Op Cos\"/>
    </mc:Choice>
  </mc:AlternateContent>
  <bookViews>
    <workbookView xWindow="0" yWindow="0" windowWidth="24000" windowHeight="9000" tabRatio="887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xyz - blank" sheetId="13" r:id="rId32"/>
  </sheets>
  <externalReferences>
    <externalReference r:id="rId33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1">'P.xyz - blank'!$A$1:$P$165</definedName>
    <definedName name="_xlnm.Print_Area" localSheetId="0">PSO.Sch.11.Rates!$A$1:$V$46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1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G90" i="17" l="1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M17" i="43"/>
  <c r="K17" i="43"/>
  <c r="E37" i="1"/>
  <c r="E36" i="1"/>
  <c r="E35" i="1"/>
  <c r="C36" i="1"/>
  <c r="C35" i="1"/>
  <c r="L19" i="1"/>
  <c r="I51" i="17"/>
  <c r="F90" i="17" l="1"/>
  <c r="E90" i="17"/>
  <c r="P42" i="17" l="1"/>
  <c r="E36" i="2" l="1"/>
  <c r="E35" i="2"/>
  <c r="C36" i="2"/>
  <c r="C35" i="2"/>
  <c r="C34" i="2"/>
  <c r="W42" i="17" l="1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M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D91" i="46"/>
  <c r="D89" i="46"/>
  <c r="N72" i="46"/>
  <c r="L72" i="46"/>
  <c r="N71" i="46"/>
  <c r="O71" i="46" s="1"/>
  <c r="L71" i="46"/>
  <c r="N70" i="46"/>
  <c r="L70" i="46"/>
  <c r="N69" i="46"/>
  <c r="L69" i="46"/>
  <c r="N68" i="46"/>
  <c r="L68" i="46"/>
  <c r="N67" i="46"/>
  <c r="L67" i="46"/>
  <c r="N66" i="46"/>
  <c r="L66" i="46"/>
  <c r="N65" i="46"/>
  <c r="O65" i="46" s="1"/>
  <c r="L65" i="46"/>
  <c r="N64" i="46"/>
  <c r="L64" i="46"/>
  <c r="N63" i="46"/>
  <c r="L63" i="46"/>
  <c r="N62" i="46"/>
  <c r="O62" i="46" s="1"/>
  <c r="L62" i="46"/>
  <c r="N61" i="46"/>
  <c r="L61" i="46"/>
  <c r="N60" i="46"/>
  <c r="L60" i="46"/>
  <c r="N59" i="46"/>
  <c r="L59" i="46"/>
  <c r="N58" i="46"/>
  <c r="O58" i="46" s="1"/>
  <c r="L58" i="46"/>
  <c r="N57" i="46"/>
  <c r="O57" i="46" s="1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O49" i="46" s="1"/>
  <c r="L49" i="46"/>
  <c r="N48" i="46"/>
  <c r="L48" i="46"/>
  <c r="N47" i="46"/>
  <c r="L47" i="46"/>
  <c r="N46" i="46"/>
  <c r="O46" i="46" s="1"/>
  <c r="L46" i="46"/>
  <c r="N45" i="46"/>
  <c r="L45" i="46"/>
  <c r="N44" i="46"/>
  <c r="L44" i="46"/>
  <c r="N43" i="46"/>
  <c r="L43" i="46"/>
  <c r="N42" i="46"/>
  <c r="L42" i="46"/>
  <c r="N41" i="46"/>
  <c r="O41" i="46" s="1"/>
  <c r="L41" i="46"/>
  <c r="N40" i="46"/>
  <c r="L40" i="46"/>
  <c r="N39" i="46"/>
  <c r="O39" i="46" s="1"/>
  <c r="L39" i="46"/>
  <c r="N38" i="46"/>
  <c r="L38" i="46"/>
  <c r="N37" i="46"/>
  <c r="L37" i="46"/>
  <c r="N36" i="46"/>
  <c r="L36" i="46"/>
  <c r="N35" i="46"/>
  <c r="L35" i="46"/>
  <c r="N34" i="46"/>
  <c r="O34" i="46" s="1"/>
  <c r="L34" i="46"/>
  <c r="N33" i="46"/>
  <c r="O33" i="46" s="1"/>
  <c r="L33" i="46"/>
  <c r="N32" i="46"/>
  <c r="O32" i="46" s="1"/>
  <c r="L32" i="46"/>
  <c r="N31" i="46"/>
  <c r="L31" i="46"/>
  <c r="N30" i="46"/>
  <c r="O30" i="46" s="1"/>
  <c r="L30" i="46"/>
  <c r="N29" i="46"/>
  <c r="L29" i="46"/>
  <c r="N28" i="46"/>
  <c r="O28" i="46" s="1"/>
  <c r="L28" i="46"/>
  <c r="N27" i="46"/>
  <c r="L27" i="46"/>
  <c r="N26" i="46"/>
  <c r="O26" i="46" s="1"/>
  <c r="L26" i="46"/>
  <c r="N25" i="46"/>
  <c r="L25" i="46"/>
  <c r="N24" i="46"/>
  <c r="L24" i="46"/>
  <c r="N23" i="46"/>
  <c r="L23" i="46"/>
  <c r="N22" i="46"/>
  <c r="O22" i="46" s="1"/>
  <c r="L22" i="46"/>
  <c r="N21" i="46"/>
  <c r="L21" i="46"/>
  <c r="N20" i="46"/>
  <c r="L20" i="46"/>
  <c r="N19" i="46"/>
  <c r="L19" i="46"/>
  <c r="N18" i="46"/>
  <c r="L18" i="46"/>
  <c r="N17" i="46"/>
  <c r="O17" i="46" s="1"/>
  <c r="L17" i="46"/>
  <c r="E17" i="46"/>
  <c r="F17" i="46" s="1"/>
  <c r="D18" i="46" s="1"/>
  <c r="C17" i="46"/>
  <c r="C18" i="46" s="1"/>
  <c r="C19" i="46" s="1"/>
  <c r="C20" i="46" s="1"/>
  <c r="C21" i="46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I14" i="46"/>
  <c r="K11" i="46"/>
  <c r="I11" i="46"/>
  <c r="D8" i="46"/>
  <c r="D90" i="46" s="1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P130" i="45" s="1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M100" i="45"/>
  <c r="O99" i="45"/>
  <c r="M99" i="45"/>
  <c r="C99" i="45"/>
  <c r="C100" i="45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O41" i="45" s="1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O33" i="45" s="1"/>
  <c r="L33" i="45"/>
  <c r="N32" i="45"/>
  <c r="L32" i="45"/>
  <c r="N31" i="45"/>
  <c r="O31" i="45" s="1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L20" i="45"/>
  <c r="N19" i="45"/>
  <c r="L19" i="45"/>
  <c r="N18" i="45"/>
  <c r="L18" i="45"/>
  <c r="N17" i="45"/>
  <c r="L17" i="45"/>
  <c r="E17" i="45"/>
  <c r="C17" i="45"/>
  <c r="I14" i="45"/>
  <c r="K11" i="45"/>
  <c r="I11" i="45"/>
  <c r="D8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C125" i="44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O103" i="44"/>
  <c r="M103" i="44"/>
  <c r="O102" i="44"/>
  <c r="M102" i="44"/>
  <c r="O101" i="44"/>
  <c r="M101" i="44"/>
  <c r="O100" i="44"/>
  <c r="M100" i="44"/>
  <c r="C100" i="44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O99" i="44"/>
  <c r="M99" i="44"/>
  <c r="C99" i="44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L20" i="44"/>
  <c r="N19" i="44"/>
  <c r="L19" i="44"/>
  <c r="N18" i="44"/>
  <c r="L18" i="44"/>
  <c r="N17" i="44"/>
  <c r="L17" i="44"/>
  <c r="E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I14" i="44"/>
  <c r="K11" i="44"/>
  <c r="I11" i="44"/>
  <c r="D8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P121" i="43" s="1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P115" i="43" s="1"/>
  <c r="O114" i="43"/>
  <c r="M114" i="43"/>
  <c r="O113" i="43"/>
  <c r="M113" i="43"/>
  <c r="O112" i="43"/>
  <c r="M112" i="43"/>
  <c r="O111" i="43"/>
  <c r="M111" i="43"/>
  <c r="P111" i="43" s="1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M101" i="43"/>
  <c r="O100" i="43"/>
  <c r="M100" i="43"/>
  <c r="O99" i="43"/>
  <c r="M99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L21" i="43"/>
  <c r="N20" i="43"/>
  <c r="L20" i="43"/>
  <c r="N19" i="43"/>
  <c r="L19" i="43"/>
  <c r="N18" i="43"/>
  <c r="L18" i="43"/>
  <c r="N17" i="43"/>
  <c r="L17" i="43"/>
  <c r="C17" i="43"/>
  <c r="K11" i="43"/>
  <c r="I11" i="43"/>
  <c r="D8" i="43"/>
  <c r="D90" i="43" s="1"/>
  <c r="P1" i="43"/>
  <c r="P83" i="43" s="1"/>
  <c r="M17" i="42"/>
  <c r="K17" i="42"/>
  <c r="M17" i="41"/>
  <c r="N17" i="41" s="1"/>
  <c r="O17" i="41" s="1"/>
  <c r="K17" i="41"/>
  <c r="L17" i="41" s="1"/>
  <c r="M17" i="40"/>
  <c r="K17" i="40"/>
  <c r="L17" i="40" s="1"/>
  <c r="N99" i="39"/>
  <c r="L99" i="39"/>
  <c r="M18" i="39"/>
  <c r="K18" i="39"/>
  <c r="N99" i="38"/>
  <c r="L99" i="38"/>
  <c r="M18" i="38"/>
  <c r="K18" i="38"/>
  <c r="N99" i="37"/>
  <c r="L99" i="37"/>
  <c r="M18" i="37"/>
  <c r="N18" i="37" s="1"/>
  <c r="K18" i="37"/>
  <c r="L18" i="37" s="1"/>
  <c r="N102" i="31"/>
  <c r="O102" i="31" s="1"/>
  <c r="P102" i="3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/>
  <c r="K20" i="30"/>
  <c r="N102" i="29"/>
  <c r="O102" i="29" s="1"/>
  <c r="P102" i="29"/>
  <c r="L102" i="29"/>
  <c r="M102" i="29" s="1"/>
  <c r="M21" i="29"/>
  <c r="N21" i="29"/>
  <c r="L21" i="29"/>
  <c r="K21" i="29"/>
  <c r="N102" i="28"/>
  <c r="O102" i="28" s="1"/>
  <c r="P102" i="28" s="1"/>
  <c r="L102" i="28"/>
  <c r="M102" i="28" s="1"/>
  <c r="M21" i="28"/>
  <c r="N21" i="28" s="1"/>
  <c r="O21" i="28" s="1"/>
  <c r="K21" i="28"/>
  <c r="L21" i="28"/>
  <c r="N103" i="27"/>
  <c r="O103" i="27"/>
  <c r="P103" i="27" s="1"/>
  <c r="M103" i="27"/>
  <c r="L103" i="27"/>
  <c r="M22" i="27"/>
  <c r="N22" i="27" s="1"/>
  <c r="O22" i="27" s="1"/>
  <c r="K22" i="27"/>
  <c r="L22" i="27" s="1"/>
  <c r="N106" i="25"/>
  <c r="O106" i="25" s="1"/>
  <c r="M106" i="25"/>
  <c r="P106" i="25" s="1"/>
  <c r="L106" i="25"/>
  <c r="M25" i="25"/>
  <c r="N25" i="25" s="1"/>
  <c r="K25" i="25"/>
  <c r="L25" i="25" s="1"/>
  <c r="N104" i="24"/>
  <c r="O104" i="24"/>
  <c r="P104" i="24" s="1"/>
  <c r="M104" i="24"/>
  <c r="L104" i="24"/>
  <c r="M23" i="24"/>
  <c r="N23" i="24" s="1"/>
  <c r="O23" i="24" s="1"/>
  <c r="K23" i="24"/>
  <c r="L23" i="24" s="1"/>
  <c r="N105" i="23"/>
  <c r="O105" i="23"/>
  <c r="M105" i="23"/>
  <c r="L105" i="23"/>
  <c r="M24" i="23"/>
  <c r="N24" i="23" s="1"/>
  <c r="K24" i="23"/>
  <c r="L24" i="23" s="1"/>
  <c r="N106" i="22"/>
  <c r="O106" i="22"/>
  <c r="P106" i="22" s="1"/>
  <c r="M106" i="22"/>
  <c r="L106" i="22"/>
  <c r="M25" i="22"/>
  <c r="N25" i="22" s="1"/>
  <c r="O25" i="22"/>
  <c r="K25" i="22"/>
  <c r="L25" i="22" s="1"/>
  <c r="N109" i="11"/>
  <c r="O109" i="11"/>
  <c r="M109" i="11"/>
  <c r="L109" i="11"/>
  <c r="M28" i="11"/>
  <c r="N28" i="11" s="1"/>
  <c r="O28" i="11" s="1"/>
  <c r="K28" i="11"/>
  <c r="L28" i="11" s="1"/>
  <c r="N110" i="10"/>
  <c r="O110" i="10"/>
  <c r="P110" i="10" s="1"/>
  <c r="M110" i="10"/>
  <c r="L110" i="10"/>
  <c r="M29" i="10"/>
  <c r="N29" i="10" s="1"/>
  <c r="O29" i="10" s="1"/>
  <c r="K29" i="10"/>
  <c r="L29" i="10" s="1"/>
  <c r="N109" i="9"/>
  <c r="O109" i="9"/>
  <c r="M109" i="9"/>
  <c r="L109" i="9"/>
  <c r="M28" i="9"/>
  <c r="N28" i="9" s="1"/>
  <c r="O28" i="9" s="1"/>
  <c r="K28" i="9"/>
  <c r="L28" i="9" s="1"/>
  <c r="N108" i="8"/>
  <c r="O108" i="8"/>
  <c r="P108" i="8" s="1"/>
  <c r="M108" i="8"/>
  <c r="L108" i="8"/>
  <c r="M27" i="8"/>
  <c r="N27" i="8" s="1"/>
  <c r="O27" i="8" s="1"/>
  <c r="K27" i="8"/>
  <c r="L27" i="8" s="1"/>
  <c r="N110" i="7"/>
  <c r="O110" i="7"/>
  <c r="M110" i="7"/>
  <c r="L110" i="7"/>
  <c r="M29" i="7"/>
  <c r="N29" i="7" s="1"/>
  <c r="K29" i="7"/>
  <c r="L29" i="7"/>
  <c r="N108" i="6"/>
  <c r="O108" i="6"/>
  <c r="M108" i="6"/>
  <c r="L108" i="6"/>
  <c r="M27" i="6"/>
  <c r="N27" i="6" s="1"/>
  <c r="K27" i="6"/>
  <c r="L27" i="6" s="1"/>
  <c r="N107" i="5"/>
  <c r="O107" i="5"/>
  <c r="P107" i="5" s="1"/>
  <c r="M107" i="5"/>
  <c r="L107" i="5"/>
  <c r="M26" i="5"/>
  <c r="N26" i="5" s="1"/>
  <c r="O26" i="5"/>
  <c r="K26" i="5"/>
  <c r="L26" i="5" s="1"/>
  <c r="N107" i="4"/>
  <c r="O107" i="4"/>
  <c r="M107" i="4"/>
  <c r="L107" i="4"/>
  <c r="M26" i="4"/>
  <c r="N26" i="4" s="1"/>
  <c r="K26" i="4"/>
  <c r="L26" i="4" s="1"/>
  <c r="N107" i="3"/>
  <c r="O107" i="3"/>
  <c r="P107" i="3" s="1"/>
  <c r="M107" i="3"/>
  <c r="L107" i="3"/>
  <c r="M26" i="3"/>
  <c r="N26" i="3" s="1"/>
  <c r="O26" i="3" s="1"/>
  <c r="K26" i="3"/>
  <c r="L26" i="3" s="1"/>
  <c r="D92" i="6"/>
  <c r="U2" i="17"/>
  <c r="T14" i="17" s="1"/>
  <c r="M26" i="6"/>
  <c r="N26" i="6" s="1"/>
  <c r="L26" i="6"/>
  <c r="K26" i="6"/>
  <c r="M17" i="38"/>
  <c r="K17" i="38"/>
  <c r="L17" i="38"/>
  <c r="M17" i="39"/>
  <c r="K17" i="39"/>
  <c r="N101" i="31"/>
  <c r="O101" i="31" s="1"/>
  <c r="P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O19" i="30" s="1"/>
  <c r="K19" i="30"/>
  <c r="L19" i="30" s="1"/>
  <c r="N100" i="30"/>
  <c r="O100" i="30" s="1"/>
  <c r="L100" i="30"/>
  <c r="M100" i="30" s="1"/>
  <c r="O20" i="29"/>
  <c r="M20" i="29"/>
  <c r="N20" i="29"/>
  <c r="K20" i="29"/>
  <c r="L20" i="29" s="1"/>
  <c r="N101" i="29"/>
  <c r="O101" i="29"/>
  <c r="L101" i="29"/>
  <c r="M101" i="29"/>
  <c r="N101" i="28"/>
  <c r="O101" i="28"/>
  <c r="L101" i="28"/>
  <c r="M101" i="28" s="1"/>
  <c r="M20" i="28"/>
  <c r="N20" i="28" s="1"/>
  <c r="K20" i="28"/>
  <c r="L20" i="28" s="1"/>
  <c r="N102" i="27"/>
  <c r="O102" i="27" s="1"/>
  <c r="M102" i="27"/>
  <c r="L102" i="27"/>
  <c r="M21" i="27"/>
  <c r="N21" i="27" s="1"/>
  <c r="O21" i="27" s="1"/>
  <c r="K21" i="27"/>
  <c r="L21" i="27"/>
  <c r="N105" i="25"/>
  <c r="O105" i="25"/>
  <c r="M105" i="25"/>
  <c r="L105" i="25"/>
  <c r="M24" i="25"/>
  <c r="N24" i="25" s="1"/>
  <c r="K24" i="25"/>
  <c r="L24" i="25" s="1"/>
  <c r="N103" i="24"/>
  <c r="O103" i="24" s="1"/>
  <c r="L103" i="24"/>
  <c r="M103" i="24" s="1"/>
  <c r="M22" i="24"/>
  <c r="N22" i="24" s="1"/>
  <c r="O22" i="24" s="1"/>
  <c r="K22" i="24"/>
  <c r="L22" i="24" s="1"/>
  <c r="N104" i="23"/>
  <c r="O104" i="23"/>
  <c r="P104" i="23" s="1"/>
  <c r="L104" i="23"/>
  <c r="M104" i="23"/>
  <c r="M23" i="23"/>
  <c r="N23" i="23" s="1"/>
  <c r="K23" i="23"/>
  <c r="L23" i="23" s="1"/>
  <c r="N105" i="22"/>
  <c r="O105" i="22" s="1"/>
  <c r="L105" i="22"/>
  <c r="M105" i="22"/>
  <c r="M24" i="22"/>
  <c r="N24" i="22" s="1"/>
  <c r="O24" i="22" s="1"/>
  <c r="K24" i="22"/>
  <c r="L24" i="22" s="1"/>
  <c r="N108" i="11"/>
  <c r="O108" i="11"/>
  <c r="L108" i="11"/>
  <c r="M108" i="11" s="1"/>
  <c r="P108" i="11" s="1"/>
  <c r="M27" i="11"/>
  <c r="N27" i="11"/>
  <c r="L27" i="11"/>
  <c r="K27" i="11"/>
  <c r="N109" i="10"/>
  <c r="O109" i="10"/>
  <c r="M109" i="10"/>
  <c r="L109" i="10"/>
  <c r="M28" i="10"/>
  <c r="N28" i="10"/>
  <c r="O28" i="10"/>
  <c r="K28" i="10"/>
  <c r="L28" i="10" s="1"/>
  <c r="N108" i="9"/>
  <c r="O108" i="9"/>
  <c r="P108" i="9" s="1"/>
  <c r="L108" i="9"/>
  <c r="M108" i="9"/>
  <c r="M27" i="9"/>
  <c r="N27" i="9" s="1"/>
  <c r="K27" i="9"/>
  <c r="L27" i="9" s="1"/>
  <c r="N107" i="8"/>
  <c r="O107" i="8" s="1"/>
  <c r="L107" i="8"/>
  <c r="M107" i="8"/>
  <c r="M26" i="8"/>
  <c r="N26" i="8" s="1"/>
  <c r="K26" i="8"/>
  <c r="L26" i="8" s="1"/>
  <c r="N109" i="7"/>
  <c r="O109" i="7" s="1"/>
  <c r="P109" i="7" s="1"/>
  <c r="L109" i="7"/>
  <c r="M109" i="7" s="1"/>
  <c r="M28" i="7"/>
  <c r="N28" i="7" s="1"/>
  <c r="K28" i="7"/>
  <c r="L28" i="7" s="1"/>
  <c r="N107" i="6"/>
  <c r="O107" i="6"/>
  <c r="L107" i="6"/>
  <c r="M107" i="6" s="1"/>
  <c r="N106" i="5"/>
  <c r="O106" i="5" s="1"/>
  <c r="P106" i="5" s="1"/>
  <c r="L106" i="5"/>
  <c r="M106" i="5"/>
  <c r="M25" i="5"/>
  <c r="N25" i="5" s="1"/>
  <c r="O25" i="5" s="1"/>
  <c r="L25" i="5"/>
  <c r="K25" i="5"/>
  <c r="N106" i="4"/>
  <c r="O106" i="4"/>
  <c r="P106" i="4"/>
  <c r="L106" i="4"/>
  <c r="M106" i="4"/>
  <c r="M25" i="4"/>
  <c r="N25" i="4"/>
  <c r="O25" i="4" s="1"/>
  <c r="K25" i="4"/>
  <c r="L25" i="4" s="1"/>
  <c r="N106" i="3"/>
  <c r="O106" i="3" s="1"/>
  <c r="L106" i="3"/>
  <c r="M106" i="3" s="1"/>
  <c r="M25" i="3"/>
  <c r="N25" i="3" s="1"/>
  <c r="O25" i="3" s="1"/>
  <c r="L25" i="3"/>
  <c r="K25" i="3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M101" i="42"/>
  <c r="O100" i="42"/>
  <c r="M100" i="42"/>
  <c r="O99" i="42"/>
  <c r="M99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L21" i="42"/>
  <c r="N20" i="42"/>
  <c r="L20" i="42"/>
  <c r="N19" i="42"/>
  <c r="L19" i="42"/>
  <c r="N18" i="42"/>
  <c r="L18" i="42"/>
  <c r="N17" i="42"/>
  <c r="O17" i="42" s="1"/>
  <c r="L17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M101" i="41"/>
  <c r="O100" i="41"/>
  <c r="M100" i="41"/>
  <c r="O99" i="41"/>
  <c r="M99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O65" i="41" s="1"/>
  <c r="L65" i="41"/>
  <c r="N64" i="41"/>
  <c r="L64" i="41"/>
  <c r="N63" i="41"/>
  <c r="L63" i="41"/>
  <c r="N62" i="41"/>
  <c r="L62" i="41"/>
  <c r="N61" i="41"/>
  <c r="L61" i="41"/>
  <c r="N60" i="41"/>
  <c r="L60" i="41"/>
  <c r="N59" i="41"/>
  <c r="O59" i="41" s="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O47" i="41" s="1"/>
  <c r="L47" i="41"/>
  <c r="N46" i="41"/>
  <c r="L46" i="41"/>
  <c r="N45" i="41"/>
  <c r="O45" i="41" s="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O35" i="41" s="1"/>
  <c r="L35" i="41"/>
  <c r="N34" i="41"/>
  <c r="L34" i="41"/>
  <c r="N33" i="41"/>
  <c r="L33" i="41"/>
  <c r="N32" i="41"/>
  <c r="L32" i="41"/>
  <c r="N31" i="41"/>
  <c r="L31" i="41"/>
  <c r="N30" i="41"/>
  <c r="L30" i="41"/>
  <c r="N29" i="41"/>
  <c r="O29" i="41" s="1"/>
  <c r="L29" i="41"/>
  <c r="N28" i="41"/>
  <c r="L28" i="41"/>
  <c r="N27" i="41"/>
  <c r="L27" i="41"/>
  <c r="N26" i="41"/>
  <c r="L26" i="41"/>
  <c r="N25" i="41"/>
  <c r="O25" i="41" s="1"/>
  <c r="L25" i="41"/>
  <c r="N24" i="41"/>
  <c r="L24" i="41"/>
  <c r="N23" i="41"/>
  <c r="L23" i="41"/>
  <c r="N22" i="41"/>
  <c r="L22" i="41"/>
  <c r="N21" i="41"/>
  <c r="O21" i="41" s="1"/>
  <c r="L21" i="41"/>
  <c r="N20" i="41"/>
  <c r="L20" i="41"/>
  <c r="N19" i="41"/>
  <c r="L19" i="41"/>
  <c r="N18" i="41"/>
  <c r="L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M16" i="2"/>
  <c r="J92" i="45" s="1"/>
  <c r="N100" i="31"/>
  <c r="O100" i="31"/>
  <c r="L100" i="31"/>
  <c r="M100" i="31" s="1"/>
  <c r="M19" i="31"/>
  <c r="N19" i="31" s="1"/>
  <c r="O19" i="31" s="1"/>
  <c r="K19" i="31"/>
  <c r="L19" i="31"/>
  <c r="N99" i="30"/>
  <c r="L99" i="30"/>
  <c r="M99" i="30" s="1"/>
  <c r="M18" i="30"/>
  <c r="N18" i="30" s="1"/>
  <c r="K18" i="30"/>
  <c r="L18" i="30" s="1"/>
  <c r="N100" i="29"/>
  <c r="O100" i="29"/>
  <c r="L100" i="29"/>
  <c r="M100" i="29" s="1"/>
  <c r="M19" i="29"/>
  <c r="N19" i="29" s="1"/>
  <c r="L19" i="29"/>
  <c r="K19" i="29"/>
  <c r="N100" i="28"/>
  <c r="O100" i="28" s="1"/>
  <c r="L100" i="28"/>
  <c r="M100" i="28" s="1"/>
  <c r="M19" i="28"/>
  <c r="N19" i="28"/>
  <c r="K19" i="28"/>
  <c r="L19" i="28" s="1"/>
  <c r="N101" i="27"/>
  <c r="O101" i="27" s="1"/>
  <c r="P101" i="27" s="1"/>
  <c r="L101" i="27"/>
  <c r="M101" i="27"/>
  <c r="M20" i="27"/>
  <c r="N20" i="27"/>
  <c r="K20" i="27"/>
  <c r="L20" i="27" s="1"/>
  <c r="N104" i="25"/>
  <c r="O104" i="25" s="1"/>
  <c r="P104" i="25" s="1"/>
  <c r="L104" i="25"/>
  <c r="M104" i="25" s="1"/>
  <c r="M23" i="25"/>
  <c r="N23" i="25"/>
  <c r="O23" i="25" s="1"/>
  <c r="K23" i="25"/>
  <c r="L23" i="25" s="1"/>
  <c r="N102" i="24"/>
  <c r="O102" i="24" s="1"/>
  <c r="P102" i="24"/>
  <c r="L102" i="24"/>
  <c r="M102" i="24"/>
  <c r="M21" i="24"/>
  <c r="N21" i="24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/>
  <c r="L104" i="22"/>
  <c r="M104" i="22" s="1"/>
  <c r="M23" i="22"/>
  <c r="N23" i="22" s="1"/>
  <c r="O23" i="22" s="1"/>
  <c r="K23" i="22"/>
  <c r="L23" i="22"/>
  <c r="N107" i="11"/>
  <c r="O107" i="11"/>
  <c r="P107" i="11" s="1"/>
  <c r="L107" i="11"/>
  <c r="M107" i="11" s="1"/>
  <c r="M26" i="11"/>
  <c r="N26" i="11" s="1"/>
  <c r="O26" i="11" s="1"/>
  <c r="K26" i="11"/>
  <c r="L26" i="11"/>
  <c r="N108" i="10"/>
  <c r="O108" i="10"/>
  <c r="L108" i="10"/>
  <c r="M108" i="10" s="1"/>
  <c r="M27" i="10"/>
  <c r="N27" i="10" s="1"/>
  <c r="O27" i="10" s="1"/>
  <c r="K27" i="10"/>
  <c r="L27" i="10"/>
  <c r="N107" i="9"/>
  <c r="O107" i="9"/>
  <c r="L107" i="9"/>
  <c r="M107" i="9" s="1"/>
  <c r="M26" i="9"/>
  <c r="N26" i="9" s="1"/>
  <c r="K26" i="9"/>
  <c r="L26" i="9" s="1"/>
  <c r="N106" i="8"/>
  <c r="O106" i="8" s="1"/>
  <c r="L106" i="8"/>
  <c r="M106" i="8" s="1"/>
  <c r="P106" i="8"/>
  <c r="M25" i="8"/>
  <c r="N25" i="8"/>
  <c r="K25" i="8"/>
  <c r="L25" i="8"/>
  <c r="N108" i="7"/>
  <c r="O108" i="7" s="1"/>
  <c r="P108" i="7" s="1"/>
  <c r="L108" i="7"/>
  <c r="M108" i="7"/>
  <c r="M27" i="7"/>
  <c r="N27" i="7"/>
  <c r="K27" i="7"/>
  <c r="L27" i="7"/>
  <c r="M25" i="6"/>
  <c r="N25" i="6"/>
  <c r="K25" i="6"/>
  <c r="L25" i="6" s="1"/>
  <c r="N106" i="6"/>
  <c r="O106" i="6" s="1"/>
  <c r="P106" i="6" s="1"/>
  <c r="L106" i="6"/>
  <c r="M106" i="6"/>
  <c r="N105" i="5"/>
  <c r="O105" i="5"/>
  <c r="P105" i="5" s="1"/>
  <c r="L105" i="5"/>
  <c r="M105" i="5" s="1"/>
  <c r="M24" i="5"/>
  <c r="N24" i="5" s="1"/>
  <c r="O24" i="5"/>
  <c r="K24" i="5"/>
  <c r="L24" i="5"/>
  <c r="N105" i="4"/>
  <c r="L105" i="4"/>
  <c r="M105" i="4" s="1"/>
  <c r="M24" i="4"/>
  <c r="N24" i="4" s="1"/>
  <c r="K24" i="4"/>
  <c r="L24" i="4" s="1"/>
  <c r="M24" i="3"/>
  <c r="N24" i="3" s="1"/>
  <c r="K24" i="3"/>
  <c r="L24" i="3" s="1"/>
  <c r="O24" i="3" s="1"/>
  <c r="N105" i="3"/>
  <c r="O105" i="3"/>
  <c r="L105" i="3"/>
  <c r="M105" i="3" s="1"/>
  <c r="P39" i="17"/>
  <c r="P38" i="17"/>
  <c r="P37" i="17"/>
  <c r="P36" i="17"/>
  <c r="O26" i="9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M101" i="40"/>
  <c r="O100" i="40"/>
  <c r="M100" i="40"/>
  <c r="O99" i="40"/>
  <c r="M99" i="40"/>
  <c r="D96" i="40"/>
  <c r="L93" i="40"/>
  <c r="J93" i="40"/>
  <c r="D91" i="40"/>
  <c r="D89" i="40"/>
  <c r="N72" i="40"/>
  <c r="O72" i="40" s="1"/>
  <c r="L72" i="40"/>
  <c r="N71" i="40"/>
  <c r="L71" i="40"/>
  <c r="N70" i="40"/>
  <c r="O70" i="40" s="1"/>
  <c r="L70" i="40"/>
  <c r="N69" i="40"/>
  <c r="L69" i="40"/>
  <c r="N68" i="40"/>
  <c r="L68" i="40"/>
  <c r="N67" i="40"/>
  <c r="L67" i="40"/>
  <c r="N66" i="40"/>
  <c r="O66" i="40" s="1"/>
  <c r="L66" i="40"/>
  <c r="N65" i="40"/>
  <c r="L65" i="40"/>
  <c r="N64" i="40"/>
  <c r="L64" i="40"/>
  <c r="N63" i="40"/>
  <c r="L63" i="40"/>
  <c r="N62" i="40"/>
  <c r="O62" i="40" s="1"/>
  <c r="L62" i="40"/>
  <c r="N61" i="40"/>
  <c r="L61" i="40"/>
  <c r="N60" i="40"/>
  <c r="L60" i="40"/>
  <c r="N59" i="40"/>
  <c r="L59" i="40"/>
  <c r="N58" i="40"/>
  <c r="L58" i="40"/>
  <c r="N57" i="40"/>
  <c r="L57" i="40"/>
  <c r="N56" i="40"/>
  <c r="O56" i="40" s="1"/>
  <c r="L56" i="40"/>
  <c r="N55" i="40"/>
  <c r="L55" i="40"/>
  <c r="N54" i="40"/>
  <c r="L54" i="40"/>
  <c r="N53" i="40"/>
  <c r="L53" i="40"/>
  <c r="N52" i="40"/>
  <c r="O52" i="40" s="1"/>
  <c r="L52" i="40"/>
  <c r="N51" i="40"/>
  <c r="L51" i="40"/>
  <c r="N50" i="40"/>
  <c r="L50" i="40"/>
  <c r="N49" i="40"/>
  <c r="L49" i="40"/>
  <c r="N48" i="40"/>
  <c r="L48" i="40"/>
  <c r="N47" i="40"/>
  <c r="L47" i="40"/>
  <c r="N46" i="40"/>
  <c r="O46" i="40" s="1"/>
  <c r="L46" i="40"/>
  <c r="N45" i="40"/>
  <c r="L45" i="40"/>
  <c r="N44" i="40"/>
  <c r="O44" i="40" s="1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O36" i="40" s="1"/>
  <c r="L36" i="40"/>
  <c r="N35" i="40"/>
  <c r="L35" i="40"/>
  <c r="N34" i="40"/>
  <c r="O34" i="40" s="1"/>
  <c r="L34" i="40"/>
  <c r="N33" i="40"/>
  <c r="L33" i="40"/>
  <c r="N32" i="40"/>
  <c r="O32" i="40" s="1"/>
  <c r="L32" i="40"/>
  <c r="N31" i="40"/>
  <c r="L31" i="40"/>
  <c r="N30" i="40"/>
  <c r="L30" i="40"/>
  <c r="N29" i="40"/>
  <c r="L29" i="40"/>
  <c r="N28" i="40"/>
  <c r="O28" i="40" s="1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L21" i="40"/>
  <c r="N20" i="40"/>
  <c r="L20" i="40"/>
  <c r="N19" i="40"/>
  <c r="L19" i="40"/>
  <c r="N18" i="40"/>
  <c r="L18" i="40"/>
  <c r="N17" i="40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M102" i="39"/>
  <c r="O101" i="39"/>
  <c r="M101" i="39"/>
  <c r="O100" i="39"/>
  <c r="M100" i="39"/>
  <c r="O99" i="39"/>
  <c r="M99" i="39"/>
  <c r="D96" i="39"/>
  <c r="L93" i="39"/>
  <c r="J93" i="39"/>
  <c r="D91" i="39"/>
  <c r="D89" i="39"/>
  <c r="N72" i="39"/>
  <c r="L72" i="39"/>
  <c r="O72" i="39" s="1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O64" i="39" s="1"/>
  <c r="N63" i="39"/>
  <c r="L63" i="39"/>
  <c r="N62" i="39"/>
  <c r="L62" i="39"/>
  <c r="N61" i="39"/>
  <c r="L61" i="39"/>
  <c r="N60" i="39"/>
  <c r="L60" i="39"/>
  <c r="O60" i="39" s="1"/>
  <c r="N59" i="39"/>
  <c r="L59" i="39"/>
  <c r="N58" i="39"/>
  <c r="L58" i="39"/>
  <c r="O58" i="39" s="1"/>
  <c r="N57" i="39"/>
  <c r="L57" i="39"/>
  <c r="N56" i="39"/>
  <c r="L56" i="39"/>
  <c r="O56" i="39" s="1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O48" i="39" s="1"/>
  <c r="N47" i="39"/>
  <c r="L47" i="39"/>
  <c r="N46" i="39"/>
  <c r="L46" i="39"/>
  <c r="N45" i="39"/>
  <c r="L45" i="39"/>
  <c r="N44" i="39"/>
  <c r="L44" i="39"/>
  <c r="O44" i="39" s="1"/>
  <c r="N43" i="39"/>
  <c r="L43" i="39"/>
  <c r="N42" i="39"/>
  <c r="L42" i="39"/>
  <c r="N41" i="39"/>
  <c r="L41" i="39"/>
  <c r="N40" i="39"/>
  <c r="L40" i="39"/>
  <c r="O40" i="39" s="1"/>
  <c r="N39" i="39"/>
  <c r="L39" i="39"/>
  <c r="N38" i="39"/>
  <c r="L38" i="39"/>
  <c r="N37" i="39"/>
  <c r="L37" i="39"/>
  <c r="N36" i="39"/>
  <c r="L36" i="39"/>
  <c r="N35" i="39"/>
  <c r="L35" i="39"/>
  <c r="N34" i="39"/>
  <c r="L34" i="39"/>
  <c r="O34" i="39" s="1"/>
  <c r="N33" i="39"/>
  <c r="L33" i="39"/>
  <c r="N32" i="39"/>
  <c r="L32" i="39"/>
  <c r="O32" i="39" s="1"/>
  <c r="N31" i="39"/>
  <c r="L31" i="39"/>
  <c r="N30" i="39"/>
  <c r="L30" i="39"/>
  <c r="N29" i="39"/>
  <c r="L29" i="39"/>
  <c r="N28" i="39"/>
  <c r="L28" i="39"/>
  <c r="N27" i="39"/>
  <c r="L27" i="39"/>
  <c r="N26" i="39"/>
  <c r="L26" i="39"/>
  <c r="O26" i="39" s="1"/>
  <c r="N25" i="39"/>
  <c r="L25" i="39"/>
  <c r="N24" i="39"/>
  <c r="L24" i="39"/>
  <c r="O24" i="39" s="1"/>
  <c r="N23" i="39"/>
  <c r="L23" i="39"/>
  <c r="N22" i="39"/>
  <c r="L22" i="39"/>
  <c r="N21" i="39"/>
  <c r="L21" i="39"/>
  <c r="N20" i="39"/>
  <c r="L20" i="39"/>
  <c r="O20" i="39" s="1"/>
  <c r="N19" i="39"/>
  <c r="L19" i="39"/>
  <c r="N18" i="39"/>
  <c r="L18" i="39"/>
  <c r="N17" i="39"/>
  <c r="L17" i="39"/>
  <c r="O17" i="39"/>
  <c r="C17" i="39"/>
  <c r="C18" i="39" s="1"/>
  <c r="C19" i="39" s="1"/>
  <c r="C20" i="39" s="1"/>
  <c r="C21" i="39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M101" i="38"/>
  <c r="O100" i="38"/>
  <c r="M100" i="38"/>
  <c r="O99" i="38"/>
  <c r="M99" i="38"/>
  <c r="P99" i="38"/>
  <c r="D96" i="38"/>
  <c r="L93" i="38"/>
  <c r="J93" i="38"/>
  <c r="D91" i="38"/>
  <c r="D89" i="38"/>
  <c r="N72" i="38"/>
  <c r="L72" i="38"/>
  <c r="N71" i="38"/>
  <c r="O71" i="38" s="1"/>
  <c r="L71" i="38"/>
  <c r="N70" i="38"/>
  <c r="L70" i="38"/>
  <c r="N69" i="38"/>
  <c r="O69" i="38" s="1"/>
  <c r="L69" i="38"/>
  <c r="N68" i="38"/>
  <c r="L68" i="38"/>
  <c r="N67" i="38"/>
  <c r="O67" i="38" s="1"/>
  <c r="L67" i="38"/>
  <c r="N66" i="38"/>
  <c r="L66" i="38"/>
  <c r="N65" i="38"/>
  <c r="L65" i="38"/>
  <c r="N64" i="38"/>
  <c r="L64" i="38"/>
  <c r="N63" i="38"/>
  <c r="O63" i="38" s="1"/>
  <c r="L63" i="38"/>
  <c r="N62" i="38"/>
  <c r="L62" i="38"/>
  <c r="N61" i="38"/>
  <c r="O61" i="38" s="1"/>
  <c r="L61" i="38"/>
  <c r="N60" i="38"/>
  <c r="L60" i="38"/>
  <c r="N59" i="38"/>
  <c r="O59" i="38" s="1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O39" i="38" s="1"/>
  <c r="L39" i="38"/>
  <c r="N38" i="38"/>
  <c r="L38" i="38"/>
  <c r="N37" i="38"/>
  <c r="L37" i="38"/>
  <c r="N36" i="38"/>
  <c r="L36" i="38"/>
  <c r="N35" i="38"/>
  <c r="O35" i="38" s="1"/>
  <c r="L35" i="38"/>
  <c r="N34" i="38"/>
  <c r="L34" i="38"/>
  <c r="N33" i="38"/>
  <c r="L33" i="38"/>
  <c r="N32" i="38"/>
  <c r="L32" i="38"/>
  <c r="N31" i="38"/>
  <c r="L31" i="38"/>
  <c r="N30" i="38"/>
  <c r="L30" i="38"/>
  <c r="N29" i="38"/>
  <c r="O29" i="38" s="1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N21" i="38"/>
  <c r="O21" i="38" s="1"/>
  <c r="L21" i="38"/>
  <c r="N20" i="38"/>
  <c r="L20" i="38"/>
  <c r="N19" i="38"/>
  <c r="O19" i="38" s="1"/>
  <c r="L19" i="38"/>
  <c r="N18" i="38"/>
  <c r="L18" i="38"/>
  <c r="N17" i="38"/>
  <c r="O17" i="38" s="1"/>
  <c r="C18" i="38"/>
  <c r="C19" i="38" s="1"/>
  <c r="C20" i="38" s="1"/>
  <c r="C21" i="38" s="1"/>
  <c r="C22" i="38" s="1"/>
  <c r="C23" i="38" s="1"/>
  <c r="C24" i="38" s="1"/>
  <c r="C25" i="38" s="1"/>
  <c r="C26" i="38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M102" i="37"/>
  <c r="O101" i="37"/>
  <c r="M101" i="37"/>
  <c r="O100" i="37"/>
  <c r="M100" i="37"/>
  <c r="O99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O60" i="37" s="1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L21" i="37"/>
  <c r="N20" i="37"/>
  <c r="L20" i="37"/>
  <c r="N19" i="37"/>
  <c r="L19" i="37"/>
  <c r="C17" i="37"/>
  <c r="C18" i="37"/>
  <c r="C19" i="37" s="1"/>
  <c r="C20" i="37"/>
  <c r="C21" i="37" s="1"/>
  <c r="C22" i="37" s="1"/>
  <c r="C23" i="37" s="1"/>
  <c r="C24" i="37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/>
  <c r="S44" i="17"/>
  <c r="O44" i="17"/>
  <c r="N44" i="17"/>
  <c r="M44" i="17"/>
  <c r="H44" i="17"/>
  <c r="N99" i="31"/>
  <c r="O99" i="31" s="1"/>
  <c r="L99" i="31"/>
  <c r="M99" i="31" s="1"/>
  <c r="D96" i="31"/>
  <c r="M18" i="31"/>
  <c r="N18" i="31"/>
  <c r="K18" i="31"/>
  <c r="L18" i="31"/>
  <c r="M17" i="30"/>
  <c r="N17" i="30"/>
  <c r="K17" i="30"/>
  <c r="L17" i="30" s="1"/>
  <c r="N99" i="29"/>
  <c r="O99" i="29" s="1"/>
  <c r="L99" i="29"/>
  <c r="M99" i="29" s="1"/>
  <c r="M18" i="29"/>
  <c r="N18" i="29" s="1"/>
  <c r="K18" i="29"/>
  <c r="L18" i="29"/>
  <c r="N99" i="28"/>
  <c r="O99" i="28"/>
  <c r="L99" i="28"/>
  <c r="M99" i="28" s="1"/>
  <c r="M18" i="28"/>
  <c r="N18" i="28"/>
  <c r="K18" i="28"/>
  <c r="L18" i="28"/>
  <c r="N103" i="25"/>
  <c r="O103" i="25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O20" i="24" s="1"/>
  <c r="K20" i="24"/>
  <c r="L20" i="24"/>
  <c r="M21" i="23"/>
  <c r="N21" i="23"/>
  <c r="K21" i="23"/>
  <c r="L21" i="23"/>
  <c r="N102" i="23"/>
  <c r="O102" i="23"/>
  <c r="L102" i="23"/>
  <c r="M102" i="23"/>
  <c r="N103" i="22"/>
  <c r="O103" i="22"/>
  <c r="L103" i="22"/>
  <c r="M103" i="22"/>
  <c r="M22" i="22"/>
  <c r="N22" i="22"/>
  <c r="K22" i="22"/>
  <c r="L22" i="22"/>
  <c r="N106" i="11"/>
  <c r="O106" i="11"/>
  <c r="L106" i="11"/>
  <c r="M106" i="11"/>
  <c r="M25" i="11"/>
  <c r="N25" i="11"/>
  <c r="K25" i="11"/>
  <c r="L25" i="11"/>
  <c r="N107" i="10"/>
  <c r="O107" i="10"/>
  <c r="L107" i="10"/>
  <c r="M107" i="10"/>
  <c r="M26" i="10"/>
  <c r="N26" i="10"/>
  <c r="K26" i="10"/>
  <c r="L26" i="10"/>
  <c r="N106" i="9"/>
  <c r="O106" i="9"/>
  <c r="P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/>
  <c r="L107" i="7"/>
  <c r="M107" i="7"/>
  <c r="M26" i="7"/>
  <c r="N26" i="7"/>
  <c r="K26" i="7"/>
  <c r="L26" i="7"/>
  <c r="N105" i="6"/>
  <c r="O105" i="6"/>
  <c r="L105" i="6"/>
  <c r="M105" i="6"/>
  <c r="M24" i="6"/>
  <c r="N24" i="6"/>
  <c r="K24" i="6"/>
  <c r="L24" i="6"/>
  <c r="N104" i="5"/>
  <c r="O104" i="5"/>
  <c r="L104" i="5"/>
  <c r="M104" i="5"/>
  <c r="M23" i="5"/>
  <c r="N23" i="5"/>
  <c r="K23" i="5"/>
  <c r="L23" i="5"/>
  <c r="N104" i="4"/>
  <c r="O104" i="4"/>
  <c r="L104" i="4"/>
  <c r="M104" i="4"/>
  <c r="M23" i="4"/>
  <c r="N23" i="4"/>
  <c r="K23" i="4"/>
  <c r="L23" i="4"/>
  <c r="N104" i="3"/>
  <c r="O104" i="3"/>
  <c r="P104" i="3" s="1"/>
  <c r="L104" i="3"/>
  <c r="M104" i="3" s="1"/>
  <c r="M23" i="3"/>
  <c r="N23" i="3" s="1"/>
  <c r="O23" i="3" s="1"/>
  <c r="K23" i="3"/>
  <c r="L23" i="3" s="1"/>
  <c r="N100" i="27"/>
  <c r="O100" i="27"/>
  <c r="P100" i="27" s="1"/>
  <c r="L100" i="27"/>
  <c r="M100" i="27" s="1"/>
  <c r="N99" i="27"/>
  <c r="O99" i="27" s="1"/>
  <c r="L99" i="27"/>
  <c r="M99" i="27" s="1"/>
  <c r="M19" i="27"/>
  <c r="N19" i="27" s="1"/>
  <c r="O19" i="27" s="1"/>
  <c r="L19" i="27"/>
  <c r="K19" i="27"/>
  <c r="M17" i="31"/>
  <c r="N17" i="31"/>
  <c r="O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M105" i="31"/>
  <c r="O104" i="31"/>
  <c r="M104" i="31"/>
  <c r="O103" i="31"/>
  <c r="M103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O45" i="31" s="1"/>
  <c r="L45" i="31"/>
  <c r="N44" i="31"/>
  <c r="L44" i="31"/>
  <c r="N43" i="31"/>
  <c r="O43" i="31" s="1"/>
  <c r="L43" i="31"/>
  <c r="N42" i="31"/>
  <c r="L42" i="31"/>
  <c r="N41" i="31"/>
  <c r="L41" i="31"/>
  <c r="N40" i="31"/>
  <c r="L40" i="31"/>
  <c r="N39" i="31"/>
  <c r="O39" i="31" s="1"/>
  <c r="L39" i="31"/>
  <c r="N38" i="31"/>
  <c r="L38" i="31"/>
  <c r="N37" i="31"/>
  <c r="L37" i="31"/>
  <c r="N36" i="31"/>
  <c r="L36" i="31"/>
  <c r="N35" i="31"/>
  <c r="L35" i="31"/>
  <c r="N34" i="31"/>
  <c r="L34" i="31"/>
  <c r="N33" i="31"/>
  <c r="O33" i="31" s="1"/>
  <c r="L33" i="31"/>
  <c r="N32" i="31"/>
  <c r="L32" i="31"/>
  <c r="N31" i="31"/>
  <c r="O31" i="31" s="1"/>
  <c r="L31" i="31"/>
  <c r="N30" i="31"/>
  <c r="L30" i="31"/>
  <c r="N29" i="31"/>
  <c r="L29" i="31"/>
  <c r="N28" i="31"/>
  <c r="L28" i="31"/>
  <c r="N27" i="31"/>
  <c r="L27" i="31"/>
  <c r="N26" i="31"/>
  <c r="L26" i="31"/>
  <c r="N25" i="31"/>
  <c r="L25" i="31"/>
  <c r="N24" i="31"/>
  <c r="L24" i="31"/>
  <c r="N23" i="31"/>
  <c r="L23" i="31"/>
  <c r="N22" i="31"/>
  <c r="L22" i="31"/>
  <c r="C34" i="3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M105" i="30"/>
  <c r="O104" i="30"/>
  <c r="M104" i="30"/>
  <c r="O103" i="30"/>
  <c r="M103" i="30"/>
  <c r="O102" i="30"/>
  <c r="M102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L23" i="30"/>
  <c r="N22" i="30"/>
  <c r="L22" i="30"/>
  <c r="N21" i="30"/>
  <c r="L21" i="30"/>
  <c r="C17" i="30"/>
  <c r="C18" i="30" s="1"/>
  <c r="C19" i="30" s="1"/>
  <c r="C20" i="30" s="1"/>
  <c r="C21" i="30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O17" i="29" s="1"/>
  <c r="K17" i="29"/>
  <c r="L17" i="29"/>
  <c r="M17" i="28"/>
  <c r="N17" i="28"/>
  <c r="K17" i="28"/>
  <c r="L17" i="28" s="1"/>
  <c r="N102" i="25"/>
  <c r="O102" i="25"/>
  <c r="P102" i="25" s="1"/>
  <c r="L102" i="25"/>
  <c r="M102" i="25" s="1"/>
  <c r="M21" i="25"/>
  <c r="N21" i="25" s="1"/>
  <c r="K21" i="25"/>
  <c r="L21" i="25"/>
  <c r="N100" i="24"/>
  <c r="O100" i="24"/>
  <c r="L100" i="24"/>
  <c r="M100" i="24"/>
  <c r="M19" i="24"/>
  <c r="N19" i="24"/>
  <c r="K19" i="24"/>
  <c r="L19" i="24" s="1"/>
  <c r="N101" i="23"/>
  <c r="O101" i="23" s="1"/>
  <c r="P101" i="23" s="1"/>
  <c r="L101" i="23"/>
  <c r="M101" i="23"/>
  <c r="M20" i="23"/>
  <c r="N20" i="23"/>
  <c r="O20" i="23" s="1"/>
  <c r="K20" i="23"/>
  <c r="L20" i="23"/>
  <c r="N102" i="22"/>
  <c r="O102" i="22"/>
  <c r="P102" i="22" s="1"/>
  <c r="L102" i="22"/>
  <c r="M102" i="22" s="1"/>
  <c r="M21" i="22"/>
  <c r="N21" i="22" s="1"/>
  <c r="O21" i="22" s="1"/>
  <c r="K21" i="22"/>
  <c r="L21" i="22" s="1"/>
  <c r="N105" i="11"/>
  <c r="O105" i="11" s="1"/>
  <c r="P105" i="11"/>
  <c r="L105" i="11"/>
  <c r="M105" i="11"/>
  <c r="M24" i="11"/>
  <c r="K24" i="11"/>
  <c r="L24" i="11" s="1"/>
  <c r="N106" i="10"/>
  <c r="O106" i="10" s="1"/>
  <c r="P106" i="10" s="1"/>
  <c r="L106" i="10"/>
  <c r="M106" i="10" s="1"/>
  <c r="M25" i="10"/>
  <c r="N25" i="10"/>
  <c r="K25" i="10"/>
  <c r="L25" i="10" s="1"/>
  <c r="N105" i="9"/>
  <c r="O105" i="9"/>
  <c r="P105" i="9" s="1"/>
  <c r="L105" i="9"/>
  <c r="M105" i="9"/>
  <c r="M24" i="9"/>
  <c r="N24" i="9" s="1"/>
  <c r="K24" i="9"/>
  <c r="L24" i="9" s="1"/>
  <c r="N104" i="8"/>
  <c r="O104" i="8" s="1"/>
  <c r="P104" i="8" s="1"/>
  <c r="L104" i="8"/>
  <c r="M104" i="8" s="1"/>
  <c r="M23" i="8"/>
  <c r="N23" i="8" s="1"/>
  <c r="O23" i="8" s="1"/>
  <c r="K23" i="8"/>
  <c r="L23" i="8" s="1"/>
  <c r="N106" i="7"/>
  <c r="O106" i="7" s="1"/>
  <c r="L106" i="7"/>
  <c r="M106" i="7" s="1"/>
  <c r="M25" i="7"/>
  <c r="N25" i="7" s="1"/>
  <c r="O25" i="7" s="1"/>
  <c r="K25" i="7"/>
  <c r="L25" i="7"/>
  <c r="N104" i="6"/>
  <c r="O104" i="6"/>
  <c r="L104" i="6"/>
  <c r="M104" i="6" s="1"/>
  <c r="M23" i="6"/>
  <c r="N23" i="6" s="1"/>
  <c r="K23" i="6"/>
  <c r="L23" i="6" s="1"/>
  <c r="N103" i="5"/>
  <c r="O103" i="5" s="1"/>
  <c r="L103" i="5"/>
  <c r="M103" i="5"/>
  <c r="M22" i="5"/>
  <c r="N22" i="5" s="1"/>
  <c r="O22" i="5" s="1"/>
  <c r="K22" i="5"/>
  <c r="L22" i="5" s="1"/>
  <c r="N103" i="4"/>
  <c r="O103" i="4" s="1"/>
  <c r="P103" i="4" s="1"/>
  <c r="M103" i="4"/>
  <c r="L103" i="4"/>
  <c r="M22" i="4"/>
  <c r="N22" i="4"/>
  <c r="K22" i="4"/>
  <c r="L22" i="4" s="1"/>
  <c r="N103" i="3"/>
  <c r="O103" i="3"/>
  <c r="P103" i="3"/>
  <c r="L103" i="3"/>
  <c r="M103" i="3" s="1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P112" i="29" s="1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M105" i="29"/>
  <c r="O104" i="29"/>
  <c r="M104" i="29"/>
  <c r="O103" i="29"/>
  <c r="M103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O67" i="29" s="1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L24" i="29"/>
  <c r="N23" i="29"/>
  <c r="L23" i="29"/>
  <c r="N22" i="29"/>
  <c r="L22" i="29"/>
  <c r="C17" i="29"/>
  <c r="C18" i="29" s="1"/>
  <c r="C19" i="29" s="1"/>
  <c r="C20" i="29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M106" i="28"/>
  <c r="O105" i="28"/>
  <c r="M105" i="28"/>
  <c r="O104" i="28"/>
  <c r="M104" i="28"/>
  <c r="O103" i="28"/>
  <c r="M103" i="28"/>
  <c r="D96" i="28"/>
  <c r="D94" i="28"/>
  <c r="L93" i="28"/>
  <c r="J93" i="28"/>
  <c r="C99" i="28"/>
  <c r="D92" i="28"/>
  <c r="D91" i="28"/>
  <c r="D89" i="28"/>
  <c r="N72" i="28"/>
  <c r="L72" i="28"/>
  <c r="O72" i="28" s="1"/>
  <c r="N71" i="28"/>
  <c r="L71" i="28"/>
  <c r="N70" i="28"/>
  <c r="L70" i="28"/>
  <c r="N69" i="28"/>
  <c r="O69" i="28" s="1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O49" i="28" s="1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L24" i="28"/>
  <c r="N23" i="28"/>
  <c r="L23" i="28"/>
  <c r="N22" i="28"/>
  <c r="L22" i="28"/>
  <c r="C17" i="28"/>
  <c r="C18" i="28"/>
  <c r="C19" i="28"/>
  <c r="C20" i="28"/>
  <c r="C21" i="28" s="1"/>
  <c r="C22" i="28" s="1"/>
  <c r="C23" i="28" s="1"/>
  <c r="C24" i="28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/>
  <c r="K17" i="27"/>
  <c r="L17" i="27" s="1"/>
  <c r="O17" i="27" s="1"/>
  <c r="N101" i="25"/>
  <c r="O101" i="25"/>
  <c r="P101" i="25"/>
  <c r="L101" i="25"/>
  <c r="M101" i="25"/>
  <c r="N100" i="25"/>
  <c r="O100" i="25" s="1"/>
  <c r="L100" i="25"/>
  <c r="M100" i="25" s="1"/>
  <c r="N99" i="25"/>
  <c r="O99" i="25"/>
  <c r="L99" i="25"/>
  <c r="M99" i="25" s="1"/>
  <c r="M20" i="25"/>
  <c r="N20" i="25"/>
  <c r="O20" i="25" s="1"/>
  <c r="K20" i="25"/>
  <c r="L20" i="25"/>
  <c r="D92" i="24"/>
  <c r="N100" i="23"/>
  <c r="O100" i="23" s="1"/>
  <c r="L100" i="23"/>
  <c r="M100" i="23"/>
  <c r="M19" i="23"/>
  <c r="N19" i="23" s="1"/>
  <c r="K19" i="23"/>
  <c r="L19" i="23"/>
  <c r="N101" i="22"/>
  <c r="O101" i="22"/>
  <c r="L101" i="22"/>
  <c r="M101" i="22" s="1"/>
  <c r="M20" i="22"/>
  <c r="N20" i="22"/>
  <c r="K20" i="22"/>
  <c r="L20" i="22" s="1"/>
  <c r="N104" i="11"/>
  <c r="O104" i="11"/>
  <c r="L104" i="11"/>
  <c r="M104" i="11" s="1"/>
  <c r="M23" i="11"/>
  <c r="N23" i="11"/>
  <c r="K23" i="11"/>
  <c r="L23" i="11" s="1"/>
  <c r="N105" i="10"/>
  <c r="O105" i="10"/>
  <c r="L105" i="10"/>
  <c r="M105" i="10" s="1"/>
  <c r="M24" i="10"/>
  <c r="N24" i="10"/>
  <c r="K24" i="10"/>
  <c r="L24" i="10" s="1"/>
  <c r="N104" i="9"/>
  <c r="O104" i="9"/>
  <c r="P104" i="9" s="1"/>
  <c r="L104" i="9"/>
  <c r="M104" i="9"/>
  <c r="M23" i="9"/>
  <c r="N23" i="9" s="1"/>
  <c r="K23" i="9"/>
  <c r="L23" i="9"/>
  <c r="O23" i="9"/>
  <c r="N103" i="8"/>
  <c r="O103" i="8" s="1"/>
  <c r="L103" i="8"/>
  <c r="M103" i="8"/>
  <c r="M22" i="8"/>
  <c r="N22" i="8" s="1"/>
  <c r="O22" i="8" s="1"/>
  <c r="K22" i="8"/>
  <c r="L22" i="8" s="1"/>
  <c r="N105" i="7"/>
  <c r="O105" i="7"/>
  <c r="L105" i="7"/>
  <c r="M105" i="7" s="1"/>
  <c r="M24" i="7"/>
  <c r="N24" i="7"/>
  <c r="O24" i="7" s="1"/>
  <c r="K24" i="7"/>
  <c r="L24" i="7" s="1"/>
  <c r="N103" i="6"/>
  <c r="O103" i="6"/>
  <c r="L103" i="6"/>
  <c r="M103" i="6" s="1"/>
  <c r="M22" i="6"/>
  <c r="N22" i="6"/>
  <c r="K22" i="6"/>
  <c r="L22" i="6" s="1"/>
  <c r="M21" i="5"/>
  <c r="N21" i="5"/>
  <c r="O21" i="5" s="1"/>
  <c r="K21" i="5"/>
  <c r="L21" i="5" s="1"/>
  <c r="N102" i="4"/>
  <c r="O102" i="4" s="1"/>
  <c r="L102" i="4"/>
  <c r="M102" i="4"/>
  <c r="P102" i="4"/>
  <c r="M21" i="4"/>
  <c r="N21" i="4" s="1"/>
  <c r="K21" i="4"/>
  <c r="L21" i="4"/>
  <c r="N102" i="3"/>
  <c r="O102" i="3" s="1"/>
  <c r="L102" i="3"/>
  <c r="M102" i="3"/>
  <c r="M21" i="3"/>
  <c r="N21" i="3" s="1"/>
  <c r="O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M18" i="25"/>
  <c r="N18" i="25" s="1"/>
  <c r="K19" i="25"/>
  <c r="L19" i="25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M107" i="27"/>
  <c r="O106" i="27"/>
  <c r="M106" i="27"/>
  <c r="O105" i="27"/>
  <c r="M105" i="27"/>
  <c r="O104" i="27"/>
  <c r="M104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O49" i="27" s="1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O27" i="27" s="1"/>
  <c r="L27" i="27"/>
  <c r="N26" i="27"/>
  <c r="L26" i="27"/>
  <c r="N25" i="27"/>
  <c r="L25" i="27"/>
  <c r="N24" i="27"/>
  <c r="L24" i="27"/>
  <c r="N23" i="27"/>
  <c r="L23" i="27"/>
  <c r="C17" i="27"/>
  <c r="C18" i="27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/>
  <c r="C47" i="27" s="1"/>
  <c r="C48" i="27" s="1"/>
  <c r="C49" i="27" s="1"/>
  <c r="C50" i="27" s="1"/>
  <c r="K11" i="27"/>
  <c r="I11" i="27"/>
  <c r="M17" i="25"/>
  <c r="N17" i="25"/>
  <c r="O17" i="25" s="1"/>
  <c r="K17" i="25"/>
  <c r="L17" i="25" s="1"/>
  <c r="M17" i="24"/>
  <c r="N17" i="24" s="1"/>
  <c r="O17" i="24" s="1"/>
  <c r="K17" i="24"/>
  <c r="N99" i="23"/>
  <c r="L99" i="23"/>
  <c r="M18" i="23"/>
  <c r="N18" i="23"/>
  <c r="K18" i="23"/>
  <c r="N100" i="22"/>
  <c r="L100" i="22"/>
  <c r="M19" i="22"/>
  <c r="N19" i="22"/>
  <c r="K19" i="22"/>
  <c r="N103" i="11"/>
  <c r="L103" i="11"/>
  <c r="M103" i="11" s="1"/>
  <c r="M22" i="11"/>
  <c r="N22" i="11" s="1"/>
  <c r="K22" i="11"/>
  <c r="N104" i="10"/>
  <c r="L104" i="10"/>
  <c r="M23" i="10"/>
  <c r="N23" i="10"/>
  <c r="K23" i="10"/>
  <c r="N103" i="9"/>
  <c r="L103" i="9"/>
  <c r="M22" i="9"/>
  <c r="N22" i="9" s="1"/>
  <c r="K22" i="9"/>
  <c r="L22" i="9" s="1"/>
  <c r="N102" i="8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21" i="6"/>
  <c r="N21" i="6"/>
  <c r="K21" i="6"/>
  <c r="N101" i="5"/>
  <c r="L101" i="5"/>
  <c r="M20" i="5"/>
  <c r="N20" i="5" s="1"/>
  <c r="K20" i="5"/>
  <c r="N101" i="4"/>
  <c r="L101" i="4"/>
  <c r="M20" i="4"/>
  <c r="N20" i="4" s="1"/>
  <c r="K20" i="4"/>
  <c r="N101" i="3"/>
  <c r="L101" i="3"/>
  <c r="M20" i="3"/>
  <c r="N20" i="3"/>
  <c r="K20" i="3"/>
  <c r="I10" i="45"/>
  <c r="F81" i="2"/>
  <c r="F87" i="2"/>
  <c r="F86" i="2"/>
  <c r="C17" i="3"/>
  <c r="C18" i="3" s="1"/>
  <c r="C19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P44" i="17" s="1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 s="1"/>
  <c r="C19" i="5"/>
  <c r="C20" i="5" s="1"/>
  <c r="C21" i="5" s="1"/>
  <c r="C22" i="5" s="1"/>
  <c r="C23" i="5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P21" i="17"/>
  <c r="C17" i="7"/>
  <c r="C18" i="7"/>
  <c r="C19" i="7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/>
  <c r="C20" i="8" s="1"/>
  <c r="C21" i="8" s="1"/>
  <c r="C22" i="8" s="1"/>
  <c r="C23" i="8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K20" i="8"/>
  <c r="P23" i="17"/>
  <c r="C17" i="9"/>
  <c r="C18" i="9"/>
  <c r="C19" i="9"/>
  <c r="C20" i="9" s="1"/>
  <c r="C21" i="9" s="1"/>
  <c r="C22" i="9" s="1"/>
  <c r="C23" i="9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/>
  <c r="P24" i="17"/>
  <c r="C17" i="10"/>
  <c r="C18" i="10"/>
  <c r="C19" i="10" s="1"/>
  <c r="C20" i="10" s="1"/>
  <c r="C21" i="10" s="1"/>
  <c r="C22" i="10"/>
  <c r="C23" i="10" s="1"/>
  <c r="C24" i="10" s="1"/>
  <c r="C25" i="10" s="1"/>
  <c r="C26" i="10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 s="1"/>
  <c r="C19" i="11" s="1"/>
  <c r="C20" i="11"/>
  <c r="C21" i="11" s="1"/>
  <c r="C22" i="11" s="1"/>
  <c r="C23" i="11" s="1"/>
  <c r="C24" i="1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M20" i="8"/>
  <c r="M21" i="9"/>
  <c r="N21" i="9" s="1"/>
  <c r="O21" i="9" s="1"/>
  <c r="M22" i="10"/>
  <c r="M21" i="11"/>
  <c r="M18" i="22"/>
  <c r="N18" i="22"/>
  <c r="M17" i="23"/>
  <c r="N17" i="23" s="1"/>
  <c r="O17" i="23" s="1"/>
  <c r="F81" i="1"/>
  <c r="F86" i="1"/>
  <c r="F88" i="1" s="1"/>
  <c r="F89" i="1" s="1"/>
  <c r="F91" i="1" s="1"/>
  <c r="F92" i="1" s="1"/>
  <c r="F93" i="1" s="1"/>
  <c r="F90" i="1"/>
  <c r="P1" i="25"/>
  <c r="P83" i="25" s="1"/>
  <c r="I11" i="25"/>
  <c r="K11" i="25"/>
  <c r="L26" i="25"/>
  <c r="N26" i="25"/>
  <c r="L27" i="25"/>
  <c r="N27" i="25"/>
  <c r="L28" i="25"/>
  <c r="N28" i="25"/>
  <c r="L29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O51" i="25" s="1"/>
  <c r="L52" i="25"/>
  <c r="N52" i="25"/>
  <c r="L53" i="25"/>
  <c r="N53" i="25"/>
  <c r="O53" i="25" s="1"/>
  <c r="L54" i="25"/>
  <c r="N54" i="25"/>
  <c r="L55" i="25"/>
  <c r="N55" i="25"/>
  <c r="O55" i="25" s="1"/>
  <c r="L56" i="25"/>
  <c r="N56" i="25"/>
  <c r="L57" i="25"/>
  <c r="N57" i="25"/>
  <c r="O57" i="25" s="1"/>
  <c r="L58" i="25"/>
  <c r="N58" i="25"/>
  <c r="L59" i="25"/>
  <c r="N59" i="25"/>
  <c r="L60" i="25"/>
  <c r="N60" i="25"/>
  <c r="L61" i="25"/>
  <c r="N61" i="25"/>
  <c r="L62" i="25"/>
  <c r="N62" i="25"/>
  <c r="L63" i="25"/>
  <c r="N63" i="25"/>
  <c r="O63" i="25" s="1"/>
  <c r="L64" i="25"/>
  <c r="N64" i="25"/>
  <c r="L65" i="25"/>
  <c r="N65" i="25"/>
  <c r="O65" i="25" s="1"/>
  <c r="L66" i="25"/>
  <c r="N66" i="25"/>
  <c r="L67" i="25"/>
  <c r="N67" i="25"/>
  <c r="L68" i="25"/>
  <c r="N68" i="25"/>
  <c r="L69" i="25"/>
  <c r="N69" i="25"/>
  <c r="L70" i="25"/>
  <c r="N70" i="25"/>
  <c r="L71" i="25"/>
  <c r="N71" i="25"/>
  <c r="O71" i="25" s="1"/>
  <c r="L72" i="25"/>
  <c r="N72" i="25"/>
  <c r="D89" i="25"/>
  <c r="D90" i="25"/>
  <c r="D91" i="25"/>
  <c r="J93" i="25"/>
  <c r="L93" i="25"/>
  <c r="D96" i="25"/>
  <c r="M107" i="25"/>
  <c r="O107" i="25"/>
  <c r="M108" i="25"/>
  <c r="O108" i="25"/>
  <c r="M109" i="25"/>
  <c r="O109" i="25"/>
  <c r="M110" i="25"/>
  <c r="O110" i="25"/>
  <c r="M111" i="25"/>
  <c r="O111" i="25"/>
  <c r="M112" i="25"/>
  <c r="O112" i="25"/>
  <c r="M113" i="25"/>
  <c r="O113" i="25"/>
  <c r="M114" i="25"/>
  <c r="O114" i="25"/>
  <c r="M115" i="25"/>
  <c r="O115" i="25"/>
  <c r="M116" i="25"/>
  <c r="O116" i="25"/>
  <c r="M117" i="25"/>
  <c r="O117" i="25"/>
  <c r="M118" i="25"/>
  <c r="O118" i="25"/>
  <c r="M119" i="25"/>
  <c r="O119" i="25"/>
  <c r="M120" i="25"/>
  <c r="O120" i="25"/>
  <c r="M121" i="25"/>
  <c r="O121" i="25"/>
  <c r="M122" i="25"/>
  <c r="O122" i="25"/>
  <c r="M123" i="25"/>
  <c r="O123" i="25"/>
  <c r="M124" i="25"/>
  <c r="O124" i="25"/>
  <c r="M125" i="25"/>
  <c r="O125" i="25"/>
  <c r="M126" i="25"/>
  <c r="O126" i="25"/>
  <c r="M127" i="25"/>
  <c r="O127" i="25"/>
  <c r="M128" i="25"/>
  <c r="O128" i="25"/>
  <c r="M129" i="25"/>
  <c r="O129" i="25"/>
  <c r="M130" i="25"/>
  <c r="O130" i="25"/>
  <c r="M131" i="25"/>
  <c r="O131" i="25"/>
  <c r="P131" i="25"/>
  <c r="M132" i="25"/>
  <c r="O132" i="25"/>
  <c r="P132" i="25"/>
  <c r="M133" i="25"/>
  <c r="O133" i="25"/>
  <c r="P133" i="25"/>
  <c r="M134" i="25"/>
  <c r="O134" i="25"/>
  <c r="P134" i="25"/>
  <c r="M135" i="25"/>
  <c r="O135" i="25"/>
  <c r="P135" i="25"/>
  <c r="M136" i="25"/>
  <c r="O136" i="25"/>
  <c r="P136" i="25"/>
  <c r="M137" i="25"/>
  <c r="O137" i="25"/>
  <c r="P137" i="25"/>
  <c r="M138" i="25"/>
  <c r="O138" i="25"/>
  <c r="P138" i="25"/>
  <c r="M139" i="25"/>
  <c r="O139" i="25"/>
  <c r="P139" i="25"/>
  <c r="M140" i="25"/>
  <c r="O140" i="25"/>
  <c r="P140" i="25"/>
  <c r="M141" i="25"/>
  <c r="O141" i="25"/>
  <c r="P141" i="25"/>
  <c r="M142" i="25"/>
  <c r="O142" i="25"/>
  <c r="P142" i="25"/>
  <c r="M143" i="25"/>
  <c r="O143" i="25"/>
  <c r="P143" i="25"/>
  <c r="M144" i="25"/>
  <c r="O144" i="25"/>
  <c r="P144" i="25"/>
  <c r="M145" i="25"/>
  <c r="O145" i="25"/>
  <c r="P145" i="25"/>
  <c r="M146" i="25"/>
  <c r="O146" i="25"/>
  <c r="P146" i="25"/>
  <c r="M147" i="25"/>
  <c r="O147" i="25"/>
  <c r="P147" i="25"/>
  <c r="M148" i="25"/>
  <c r="O148" i="25"/>
  <c r="P148" i="25"/>
  <c r="M149" i="25"/>
  <c r="O149" i="25"/>
  <c r="P149" i="25"/>
  <c r="M150" i="25"/>
  <c r="O150" i="25"/>
  <c r="P150" i="25"/>
  <c r="M151" i="25"/>
  <c r="O151" i="25"/>
  <c r="P151" i="25"/>
  <c r="M152" i="25"/>
  <c r="O152" i="25"/>
  <c r="P152" i="25"/>
  <c r="M153" i="25"/>
  <c r="O153" i="25"/>
  <c r="P153" i="25"/>
  <c r="M154" i="25"/>
  <c r="O154" i="25"/>
  <c r="P154" i="25"/>
  <c r="N99" i="22"/>
  <c r="L99" i="22"/>
  <c r="N102" i="11"/>
  <c r="L102" i="11"/>
  <c r="M102" i="11" s="1"/>
  <c r="N103" i="10"/>
  <c r="L103" i="10"/>
  <c r="N102" i="9"/>
  <c r="L102" i="9"/>
  <c r="M102" i="9" s="1"/>
  <c r="N101" i="8"/>
  <c r="L101" i="8"/>
  <c r="M101" i="8" s="1"/>
  <c r="N103" i="7"/>
  <c r="L103" i="7"/>
  <c r="M103" i="7" s="1"/>
  <c r="N101" i="6"/>
  <c r="L101" i="6"/>
  <c r="N100" i="5"/>
  <c r="L100" i="5"/>
  <c r="N100" i="4"/>
  <c r="L100" i="4"/>
  <c r="P1" i="24"/>
  <c r="P83" i="24" s="1"/>
  <c r="I11" i="24"/>
  <c r="K11" i="24"/>
  <c r="L17" i="24"/>
  <c r="L24" i="24"/>
  <c r="N24" i="24"/>
  <c r="L25" i="24"/>
  <c r="N25" i="24"/>
  <c r="L26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M105" i="24"/>
  <c r="O105" i="24"/>
  <c r="M106" i="24"/>
  <c r="O106" i="24"/>
  <c r="M107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N18" i="3" s="1"/>
  <c r="O18" i="3" s="1"/>
  <c r="D10" i="3"/>
  <c r="K21" i="10"/>
  <c r="K18" i="3"/>
  <c r="K18" i="4"/>
  <c r="K18" i="5"/>
  <c r="K19" i="6"/>
  <c r="L19" i="6" s="1"/>
  <c r="K21" i="7"/>
  <c r="K19" i="8"/>
  <c r="L19" i="8" s="1"/>
  <c r="K20" i="9"/>
  <c r="L20" i="9" s="1"/>
  <c r="K20" i="11"/>
  <c r="K17" i="22"/>
  <c r="L17" i="22" s="1"/>
  <c r="W28" i="17"/>
  <c r="B19" i="23"/>
  <c r="I17" i="23"/>
  <c r="P1" i="23"/>
  <c r="P83" i="23" s="1"/>
  <c r="I11" i="23"/>
  <c r="K11" i="23"/>
  <c r="L17" i="23"/>
  <c r="B18" i="23"/>
  <c r="L18" i="23"/>
  <c r="L25" i="23"/>
  <c r="N25" i="23"/>
  <c r="O25" i="23" s="1"/>
  <c r="L26" i="23"/>
  <c r="N26" i="23"/>
  <c r="L27" i="23"/>
  <c r="N27" i="23"/>
  <c r="O27" i="23" s="1"/>
  <c r="L28" i="23"/>
  <c r="N28" i="23"/>
  <c r="L29" i="23"/>
  <c r="N29" i="23"/>
  <c r="L30" i="23"/>
  <c r="N30" i="23"/>
  <c r="L31" i="23"/>
  <c r="N31" i="23"/>
  <c r="O31" i="23" s="1"/>
  <c r="L32" i="23"/>
  <c r="N32" i="23"/>
  <c r="L33" i="23"/>
  <c r="N33" i="23"/>
  <c r="L34" i="23"/>
  <c r="N34" i="23"/>
  <c r="L35" i="23"/>
  <c r="N35" i="23"/>
  <c r="O35" i="23" s="1"/>
  <c r="L36" i="23"/>
  <c r="N36" i="23"/>
  <c r="L37" i="23"/>
  <c r="N37" i="23"/>
  <c r="O37" i="23"/>
  <c r="L38" i="23"/>
  <c r="N38" i="23"/>
  <c r="L39" i="23"/>
  <c r="N39" i="23"/>
  <c r="O39" i="23" s="1"/>
  <c r="L40" i="23"/>
  <c r="N40" i="23"/>
  <c r="L41" i="23"/>
  <c r="N41" i="23"/>
  <c r="O41" i="23" s="1"/>
  <c r="L42" i="23"/>
  <c r="N42" i="23"/>
  <c r="L43" i="23"/>
  <c r="N43" i="23"/>
  <c r="O43" i="23" s="1"/>
  <c r="L44" i="23"/>
  <c r="N44" i="23"/>
  <c r="L45" i="23"/>
  <c r="N45" i="23"/>
  <c r="L46" i="23"/>
  <c r="N46" i="23"/>
  <c r="L47" i="23"/>
  <c r="N47" i="23"/>
  <c r="O47" i="23" s="1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O55" i="23" s="1"/>
  <c r="L56" i="23"/>
  <c r="N56" i="23"/>
  <c r="L57" i="23"/>
  <c r="N57" i="23"/>
  <c r="O57" i="23" s="1"/>
  <c r="L58" i="23"/>
  <c r="N58" i="23"/>
  <c r="L59" i="23"/>
  <c r="N59" i="23"/>
  <c r="O59" i="23" s="1"/>
  <c r="L60" i="23"/>
  <c r="N60" i="23"/>
  <c r="L61" i="23"/>
  <c r="N61" i="23"/>
  <c r="O61" i="23" s="1"/>
  <c r="L62" i="23"/>
  <c r="N62" i="23"/>
  <c r="L63" i="23"/>
  <c r="N63" i="23"/>
  <c r="O63" i="23" s="1"/>
  <c r="L64" i="23"/>
  <c r="N64" i="23"/>
  <c r="L65" i="23"/>
  <c r="N65" i="23"/>
  <c r="O65" i="23" s="1"/>
  <c r="L66" i="23"/>
  <c r="N66" i="23"/>
  <c r="L67" i="23"/>
  <c r="N67" i="23"/>
  <c r="L68" i="23"/>
  <c r="N68" i="23"/>
  <c r="L69" i="23"/>
  <c r="N69" i="23"/>
  <c r="O69" i="23" s="1"/>
  <c r="L70" i="23"/>
  <c r="N70" i="23"/>
  <c r="L71" i="23"/>
  <c r="N71" i="23"/>
  <c r="O71" i="23" s="1"/>
  <c r="L72" i="23"/>
  <c r="N72" i="23"/>
  <c r="D89" i="23"/>
  <c r="D91" i="23"/>
  <c r="J93" i="23"/>
  <c r="L93" i="23"/>
  <c r="D96" i="23"/>
  <c r="M99" i="23"/>
  <c r="O99" i="23"/>
  <c r="M106" i="23"/>
  <c r="O106" i="23"/>
  <c r="M107" i="23"/>
  <c r="O107" i="23"/>
  <c r="M108" i="23"/>
  <c r="O108" i="23"/>
  <c r="M109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21" i="10"/>
  <c r="N102" i="10"/>
  <c r="L102" i="10"/>
  <c r="M20" i="9"/>
  <c r="N20" i="9"/>
  <c r="O20" i="9" s="1"/>
  <c r="N101" i="9"/>
  <c r="L101" i="9"/>
  <c r="N100" i="8"/>
  <c r="O100" i="8" s="1"/>
  <c r="L100" i="8"/>
  <c r="M100" i="8" s="1"/>
  <c r="M19" i="8"/>
  <c r="N102" i="7"/>
  <c r="L102" i="7"/>
  <c r="M102" i="7" s="1"/>
  <c r="M21" i="7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I18" i="22"/>
  <c r="L18" i="22"/>
  <c r="L19" i="22"/>
  <c r="L26" i="22"/>
  <c r="N26" i="22"/>
  <c r="L27" i="22"/>
  <c r="N27" i="22"/>
  <c r="L28" i="22"/>
  <c r="N28" i="22"/>
  <c r="L29" i="22"/>
  <c r="N29" i="22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M99" i="22"/>
  <c r="O99" i="22"/>
  <c r="M100" i="22"/>
  <c r="O100" i="22"/>
  <c r="M107" i="22"/>
  <c r="O107" i="22"/>
  <c r="M108" i="22"/>
  <c r="O108" i="22"/>
  <c r="M109" i="22"/>
  <c r="O109" i="22"/>
  <c r="M110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R12" i="17" s="1"/>
  <c r="W26" i="17"/>
  <c r="W25" i="17"/>
  <c r="W24" i="17"/>
  <c r="W23" i="17"/>
  <c r="W22" i="17"/>
  <c r="W21" i="17"/>
  <c r="W20" i="17"/>
  <c r="W19" i="17"/>
  <c r="W18" i="17"/>
  <c r="G12" i="17"/>
  <c r="T12" i="17" s="1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O19" i="13" s="1"/>
  <c r="L20" i="13"/>
  <c r="N20" i="13"/>
  <c r="L21" i="13"/>
  <c r="N21" i="13"/>
  <c r="O21" i="13" s="1"/>
  <c r="L22" i="13"/>
  <c r="N22" i="13"/>
  <c r="L23" i="13"/>
  <c r="N23" i="13"/>
  <c r="O23" i="13" s="1"/>
  <c r="L24" i="13"/>
  <c r="N24" i="13"/>
  <c r="L25" i="13"/>
  <c r="N25" i="13"/>
  <c r="O25" i="13" s="1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O35" i="13" s="1"/>
  <c r="L36" i="13"/>
  <c r="N36" i="13"/>
  <c r="L37" i="13"/>
  <c r="N37" i="13"/>
  <c r="L38" i="13"/>
  <c r="N38" i="13"/>
  <c r="L39" i="13"/>
  <c r="N39" i="13"/>
  <c r="L40" i="13"/>
  <c r="N40" i="13"/>
  <c r="L41" i="13"/>
  <c r="N41" i="13"/>
  <c r="O41" i="13" s="1"/>
  <c r="L42" i="13"/>
  <c r="N42" i="13"/>
  <c r="L43" i="13"/>
  <c r="N43" i="13"/>
  <c r="L44" i="13"/>
  <c r="N44" i="13"/>
  <c r="L45" i="13"/>
  <c r="N45" i="13"/>
  <c r="O45" i="13" s="1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O57" i="13" s="1"/>
  <c r="L58" i="13"/>
  <c r="N58" i="13"/>
  <c r="L59" i="13"/>
  <c r="N59" i="13"/>
  <c r="O59" i="13" s="1"/>
  <c r="L60" i="13"/>
  <c r="N60" i="13"/>
  <c r="L61" i="13"/>
  <c r="N61" i="13"/>
  <c r="O61" i="13" s="1"/>
  <c r="L62" i="13"/>
  <c r="N62" i="13"/>
  <c r="L63" i="13"/>
  <c r="N63" i="13"/>
  <c r="O63" i="13" s="1"/>
  <c r="L64" i="13"/>
  <c r="N64" i="13"/>
  <c r="L65" i="13"/>
  <c r="N65" i="13"/>
  <c r="O65" i="13" s="1"/>
  <c r="L66" i="13"/>
  <c r="N66" i="13"/>
  <c r="L67" i="13"/>
  <c r="N67" i="13"/>
  <c r="L68" i="13"/>
  <c r="N68" i="13"/>
  <c r="L69" i="13"/>
  <c r="N69" i="13"/>
  <c r="O69" i="13" s="1"/>
  <c r="L70" i="13"/>
  <c r="N70" i="13"/>
  <c r="L71" i="13"/>
  <c r="N71" i="13"/>
  <c r="O71" i="13" s="1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 s="1"/>
  <c r="I18" i="11"/>
  <c r="L18" i="11"/>
  <c r="N18" i="11"/>
  <c r="I19" i="11"/>
  <c r="L19" i="11"/>
  <c r="N19" i="11"/>
  <c r="I20" i="11"/>
  <c r="L20" i="11"/>
  <c r="N20" i="11"/>
  <c r="I21" i="11"/>
  <c r="N21" i="11"/>
  <c r="L22" i="11"/>
  <c r="L29" i="11"/>
  <c r="N29" i="11"/>
  <c r="L30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M101" i="11"/>
  <c r="J102" i="11"/>
  <c r="O102" i="11"/>
  <c r="O103" i="11"/>
  <c r="M110" i="11"/>
  <c r="O110" i="11"/>
  <c r="M111" i="11"/>
  <c r="O111" i="11"/>
  <c r="M112" i="11"/>
  <c r="O112" i="11"/>
  <c r="M113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O17" i="10" s="1"/>
  <c r="N17" i="10"/>
  <c r="I18" i="10"/>
  <c r="L18" i="10"/>
  <c r="O18" i="10" s="1"/>
  <c r="N18" i="10"/>
  <c r="I19" i="10"/>
  <c r="L19" i="10"/>
  <c r="O19" i="10" s="1"/>
  <c r="N19" i="10"/>
  <c r="I20" i="10"/>
  <c r="L20" i="10"/>
  <c r="O20" i="10" s="1"/>
  <c r="N20" i="10"/>
  <c r="I21" i="10"/>
  <c r="L21" i="10"/>
  <c r="I22" i="10"/>
  <c r="L22" i="10"/>
  <c r="N22" i="10"/>
  <c r="O22" i="10" s="1"/>
  <c r="L23" i="10"/>
  <c r="L30" i="10"/>
  <c r="N30" i="10"/>
  <c r="O30" i="10" s="1"/>
  <c r="L31" i="10"/>
  <c r="N31" i="10"/>
  <c r="L32" i="10"/>
  <c r="N32" i="10"/>
  <c r="O32" i="10" s="1"/>
  <c r="L33" i="10"/>
  <c r="N33" i="10"/>
  <c r="L34" i="10"/>
  <c r="N34" i="10"/>
  <c r="L35" i="10"/>
  <c r="N35" i="10"/>
  <c r="L36" i="10"/>
  <c r="N36" i="10"/>
  <c r="O36" i="10" s="1"/>
  <c r="L37" i="10"/>
  <c r="N37" i="10"/>
  <c r="L38" i="10"/>
  <c r="N38" i="10"/>
  <c r="O38" i="10" s="1"/>
  <c r="L39" i="10"/>
  <c r="N39" i="10"/>
  <c r="L40" i="10"/>
  <c r="N40" i="10"/>
  <c r="O40" i="10" s="1"/>
  <c r="L41" i="10"/>
  <c r="N41" i="10"/>
  <c r="L42" i="10"/>
  <c r="N42" i="10"/>
  <c r="L43" i="10"/>
  <c r="N43" i="10"/>
  <c r="L44" i="10"/>
  <c r="N44" i="10"/>
  <c r="L45" i="10"/>
  <c r="N45" i="10"/>
  <c r="L46" i="10"/>
  <c r="N46" i="10"/>
  <c r="O46" i="10" s="1"/>
  <c r="L47" i="10"/>
  <c r="N47" i="10"/>
  <c r="L48" i="10"/>
  <c r="N48" i="10"/>
  <c r="L49" i="10"/>
  <c r="N49" i="10"/>
  <c r="L50" i="10"/>
  <c r="N50" i="10"/>
  <c r="L51" i="10"/>
  <c r="N51" i="10"/>
  <c r="L52" i="10"/>
  <c r="N52" i="10"/>
  <c r="O52" i="10" s="1"/>
  <c r="L53" i="10"/>
  <c r="N53" i="10"/>
  <c r="L54" i="10"/>
  <c r="N54" i="10"/>
  <c r="L55" i="10"/>
  <c r="N55" i="10"/>
  <c r="L56" i="10"/>
  <c r="N56" i="10"/>
  <c r="O56" i="10" s="1"/>
  <c r="L57" i="10"/>
  <c r="N57" i="10"/>
  <c r="L58" i="10"/>
  <c r="N58" i="10"/>
  <c r="O58" i="10" s="1"/>
  <c r="L59" i="10"/>
  <c r="N59" i="10"/>
  <c r="L60" i="10"/>
  <c r="N60" i="10"/>
  <c r="O60" i="10" s="1"/>
  <c r="L61" i="10"/>
  <c r="N61" i="10"/>
  <c r="L62" i="10"/>
  <c r="N62" i="10"/>
  <c r="O62" i="10" s="1"/>
  <c r="L63" i="10"/>
  <c r="N63" i="10"/>
  <c r="L64" i="10"/>
  <c r="N64" i="10"/>
  <c r="L65" i="10"/>
  <c r="N65" i="10"/>
  <c r="L66" i="10"/>
  <c r="N66" i="10"/>
  <c r="O66" i="10" s="1"/>
  <c r="L67" i="10"/>
  <c r="N67" i="10"/>
  <c r="L68" i="10"/>
  <c r="N68" i="10"/>
  <c r="L69" i="10"/>
  <c r="N69" i="10"/>
  <c r="L70" i="10"/>
  <c r="N70" i="10"/>
  <c r="L71" i="10"/>
  <c r="N71" i="10"/>
  <c r="L72" i="10"/>
  <c r="N72" i="10"/>
  <c r="O72" i="10" s="1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P101" i="10" s="1"/>
  <c r="J102" i="10"/>
  <c r="M102" i="10"/>
  <c r="O102" i="10"/>
  <c r="J103" i="10"/>
  <c r="M103" i="10"/>
  <c r="O103" i="10"/>
  <c r="M104" i="10"/>
  <c r="O104" i="10"/>
  <c r="M111" i="10"/>
  <c r="O111" i="10"/>
  <c r="M112" i="10"/>
  <c r="O112" i="10"/>
  <c r="M113" i="10"/>
  <c r="O113" i="10"/>
  <c r="M114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O17" i="9"/>
  <c r="I18" i="9"/>
  <c r="L18" i="9"/>
  <c r="N18" i="9"/>
  <c r="O18" i="9"/>
  <c r="I19" i="9"/>
  <c r="L19" i="9"/>
  <c r="N19" i="9"/>
  <c r="O19" i="9"/>
  <c r="I21" i="9"/>
  <c r="L29" i="9"/>
  <c r="N29" i="9"/>
  <c r="L30" i="9"/>
  <c r="N30" i="9"/>
  <c r="L31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O49" i="9" s="1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O59" i="9" s="1"/>
  <c r="L60" i="9"/>
  <c r="N60" i="9"/>
  <c r="L61" i="9"/>
  <c r="N61" i="9"/>
  <c r="L62" i="9"/>
  <c r="N62" i="9"/>
  <c r="L63" i="9"/>
  <c r="N63" i="9"/>
  <c r="L64" i="9"/>
  <c r="N64" i="9"/>
  <c r="L65" i="9"/>
  <c r="N65" i="9"/>
  <c r="O65" i="9" s="1"/>
  <c r="L66" i="9"/>
  <c r="N66" i="9"/>
  <c r="L67" i="9"/>
  <c r="N67" i="9"/>
  <c r="O67" i="9" s="1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P101" i="9" s="1"/>
  <c r="J102" i="9"/>
  <c r="O102" i="9"/>
  <c r="P102" i="9" s="1"/>
  <c r="M103" i="9"/>
  <c r="O103" i="9"/>
  <c r="P103" i="9" s="1"/>
  <c r="M110" i="9"/>
  <c r="O110" i="9"/>
  <c r="M111" i="9"/>
  <c r="O111" i="9"/>
  <c r="M112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O17" i="8" s="1"/>
  <c r="N17" i="8"/>
  <c r="I18" i="8"/>
  <c r="L18" i="8"/>
  <c r="N18" i="8"/>
  <c r="O18" i="8" s="1"/>
  <c r="I19" i="8"/>
  <c r="N19" i="8"/>
  <c r="I20" i="8"/>
  <c r="L20" i="8"/>
  <c r="N20" i="8"/>
  <c r="O20" i="8" s="1"/>
  <c r="L21" i="8"/>
  <c r="L28" i="8"/>
  <c r="N28" i="8"/>
  <c r="L29" i="8"/>
  <c r="N29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C53" i="8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/>
  <c r="C66" i="8" s="1"/>
  <c r="C67" i="8" s="1"/>
  <c r="C68" i="8" s="1"/>
  <c r="C69" i="8" s="1"/>
  <c r="C70" i="8" s="1"/>
  <c r="C71" i="8" s="1"/>
  <c r="C72" i="8" s="1"/>
  <c r="L46" i="8"/>
  <c r="N46" i="8"/>
  <c r="L47" i="8"/>
  <c r="N47" i="8"/>
  <c r="L48" i="8"/>
  <c r="N48" i="8"/>
  <c r="O48" i="8" s="1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P99" i="8" s="1"/>
  <c r="O99" i="8"/>
  <c r="J100" i="8"/>
  <c r="J101" i="8"/>
  <c r="O101" i="8"/>
  <c r="P101" i="8" s="1"/>
  <c r="M102" i="8"/>
  <c r="O102" i="8"/>
  <c r="P102" i="8" s="1"/>
  <c r="M109" i="8"/>
  <c r="O109" i="8"/>
  <c r="M110" i="8"/>
  <c r="O110" i="8"/>
  <c r="M111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O17" i="7" s="1"/>
  <c r="I18" i="7"/>
  <c r="N18" i="7"/>
  <c r="I19" i="7"/>
  <c r="L19" i="7"/>
  <c r="N19" i="7"/>
  <c r="I20" i="7"/>
  <c r="L20" i="7"/>
  <c r="N20" i="7"/>
  <c r="I21" i="7"/>
  <c r="L21" i="7"/>
  <c r="N21" i="7"/>
  <c r="O21" i="7" s="1"/>
  <c r="I22" i="7"/>
  <c r="N22" i="7"/>
  <c r="L23" i="7"/>
  <c r="L30" i="7"/>
  <c r="N30" i="7"/>
  <c r="L31" i="7"/>
  <c r="N31" i="7"/>
  <c r="L32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O53" i="7" s="1"/>
  <c r="L54" i="7"/>
  <c r="N54" i="7"/>
  <c r="L55" i="7"/>
  <c r="N55" i="7"/>
  <c r="L56" i="7"/>
  <c r="N56" i="7"/>
  <c r="L57" i="7"/>
  <c r="N57" i="7"/>
  <c r="L58" i="7"/>
  <c r="N58" i="7"/>
  <c r="L59" i="7"/>
  <c r="N59" i="7"/>
  <c r="O59" i="7" s="1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O67" i="7" s="1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P100" i="7" s="1"/>
  <c r="J101" i="7"/>
  <c r="O101" i="7"/>
  <c r="P101" i="7" s="1"/>
  <c r="J102" i="7"/>
  <c r="O102" i="7"/>
  <c r="P102" i="7" s="1"/>
  <c r="J103" i="7"/>
  <c r="O103" i="7"/>
  <c r="P103" i="7" s="1"/>
  <c r="M104" i="7"/>
  <c r="M111" i="7"/>
  <c r="O111" i="7"/>
  <c r="M112" i="7"/>
  <c r="O112" i="7"/>
  <c r="M113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 s="1"/>
  <c r="N19" i="6"/>
  <c r="O19" i="6" s="1"/>
  <c r="L20" i="6"/>
  <c r="N20" i="6"/>
  <c r="O20" i="6" s="1"/>
  <c r="L21" i="6"/>
  <c r="L28" i="6"/>
  <c r="N28" i="6"/>
  <c r="L29" i="6"/>
  <c r="N29" i="6"/>
  <c r="L30" i="6"/>
  <c r="N30" i="6"/>
  <c r="L31" i="6"/>
  <c r="O31" i="6" s="1"/>
  <c r="N31" i="6"/>
  <c r="L32" i="6"/>
  <c r="N32" i="6"/>
  <c r="L33" i="6"/>
  <c r="O33" i="6" s="1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O53" i="6" s="1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O65" i="6" s="1"/>
  <c r="L66" i="6"/>
  <c r="N66" i="6"/>
  <c r="L67" i="6"/>
  <c r="N67" i="6"/>
  <c r="L68" i="6"/>
  <c r="N68" i="6"/>
  <c r="L69" i="6"/>
  <c r="N69" i="6"/>
  <c r="L70" i="6"/>
  <c r="N70" i="6"/>
  <c r="L71" i="6"/>
  <c r="N71" i="6"/>
  <c r="O71" i="6" s="1"/>
  <c r="L72" i="6"/>
  <c r="N72" i="6"/>
  <c r="D89" i="6"/>
  <c r="D91" i="6"/>
  <c r="J93" i="6"/>
  <c r="L93" i="6"/>
  <c r="D96" i="6"/>
  <c r="J99" i="6"/>
  <c r="M99" i="6"/>
  <c r="J100" i="6"/>
  <c r="M100" i="6"/>
  <c r="J101" i="6"/>
  <c r="M101" i="6"/>
  <c r="O101" i="6"/>
  <c r="P101" i="6" s="1"/>
  <c r="M102" i="6"/>
  <c r="O102" i="6"/>
  <c r="P102" i="6"/>
  <c r="M109" i="6"/>
  <c r="O109" i="6"/>
  <c r="M110" i="6"/>
  <c r="O110" i="6"/>
  <c r="M111" i="6"/>
  <c r="O111" i="6"/>
  <c r="M112" i="6"/>
  <c r="O112" i="6"/>
  <c r="M113" i="6"/>
  <c r="O113" i="6"/>
  <c r="M114" i="6"/>
  <c r="O114" i="6"/>
  <c r="P114" i="6" s="1"/>
  <c r="M115" i="6"/>
  <c r="O115" i="6"/>
  <c r="M116" i="6"/>
  <c r="O116" i="6"/>
  <c r="P116" i="6" s="1"/>
  <c r="M117" i="6"/>
  <c r="O117" i="6"/>
  <c r="M118" i="6"/>
  <c r="O118" i="6"/>
  <c r="M119" i="6"/>
  <c r="O119" i="6"/>
  <c r="M120" i="6"/>
  <c r="O120" i="6"/>
  <c r="M121" i="6"/>
  <c r="O121" i="6"/>
  <c r="M122" i="6"/>
  <c r="O122" i="6"/>
  <c r="P122" i="6" s="1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P132" i="6" s="1"/>
  <c r="M133" i="6"/>
  <c r="O133" i="6"/>
  <c r="M134" i="6"/>
  <c r="O134" i="6"/>
  <c r="P134" i="6" s="1"/>
  <c r="M135" i="6"/>
  <c r="O135" i="6"/>
  <c r="M136" i="6"/>
  <c r="O136" i="6"/>
  <c r="P136" i="6" s="1"/>
  <c r="M137" i="6"/>
  <c r="O137" i="6"/>
  <c r="M138" i="6"/>
  <c r="O138" i="6"/>
  <c r="P138" i="6" s="1"/>
  <c r="M139" i="6"/>
  <c r="O139" i="6"/>
  <c r="M140" i="6"/>
  <c r="O140" i="6"/>
  <c r="M141" i="6"/>
  <c r="O141" i="6"/>
  <c r="M142" i="6"/>
  <c r="O142" i="6"/>
  <c r="M143" i="6"/>
  <c r="O143" i="6"/>
  <c r="M144" i="6"/>
  <c r="O144" i="6"/>
  <c r="P144" i="6" s="1"/>
  <c r="M145" i="6"/>
  <c r="O145" i="6"/>
  <c r="M146" i="6"/>
  <c r="O146" i="6"/>
  <c r="P146" i="6" s="1"/>
  <c r="M147" i="6"/>
  <c r="O147" i="6"/>
  <c r="M148" i="6"/>
  <c r="O148" i="6"/>
  <c r="M149" i="6"/>
  <c r="O149" i="6"/>
  <c r="M150" i="6"/>
  <c r="O150" i="6"/>
  <c r="P150" i="6" s="1"/>
  <c r="M151" i="6"/>
  <c r="O151" i="6"/>
  <c r="M152" i="6"/>
  <c r="O152" i="6"/>
  <c r="M153" i="6"/>
  <c r="O153" i="6"/>
  <c r="M154" i="6"/>
  <c r="O154" i="6"/>
  <c r="P154" i="6" s="1"/>
  <c r="K11" i="5"/>
  <c r="I17" i="5"/>
  <c r="L17" i="5"/>
  <c r="N17" i="5"/>
  <c r="O17" i="5" s="1"/>
  <c r="I18" i="5"/>
  <c r="L18" i="5"/>
  <c r="N18" i="5"/>
  <c r="O18" i="5" s="1"/>
  <c r="I19" i="5"/>
  <c r="L19" i="5"/>
  <c r="N19" i="5"/>
  <c r="O19" i="5" s="1"/>
  <c r="L20" i="5"/>
  <c r="L27" i="5"/>
  <c r="N27" i="5"/>
  <c r="L28" i="5"/>
  <c r="N28" i="5"/>
  <c r="L29" i="5"/>
  <c r="N29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J100" i="5"/>
  <c r="M100" i="5"/>
  <c r="O100" i="5"/>
  <c r="M101" i="5"/>
  <c r="O101" i="5"/>
  <c r="P101" i="5"/>
  <c r="M108" i="5"/>
  <c r="O108" i="5"/>
  <c r="M109" i="5"/>
  <c r="O109" i="5"/>
  <c r="M110" i="5"/>
  <c r="O110" i="5"/>
  <c r="M111" i="5"/>
  <c r="O111" i="5"/>
  <c r="P111" i="5" s="1"/>
  <c r="M112" i="5"/>
  <c r="O112" i="5"/>
  <c r="M113" i="5"/>
  <c r="O113" i="5"/>
  <c r="P113" i="5" s="1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P123" i="5" s="1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P131" i="5" s="1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P139" i="5" s="1"/>
  <c r="M140" i="5"/>
  <c r="O140" i="5"/>
  <c r="M141" i="5"/>
  <c r="O141" i="5"/>
  <c r="M142" i="5"/>
  <c r="O142" i="5"/>
  <c r="M143" i="5"/>
  <c r="O143" i="5"/>
  <c r="M144" i="5"/>
  <c r="O144" i="5"/>
  <c r="M145" i="5"/>
  <c r="O145" i="5"/>
  <c r="P145" i="5" s="1"/>
  <c r="M146" i="5"/>
  <c r="O146" i="5"/>
  <c r="M147" i="5"/>
  <c r="O147" i="5"/>
  <c r="P147" i="5" s="1"/>
  <c r="M148" i="5"/>
  <c r="O148" i="5"/>
  <c r="M149" i="5"/>
  <c r="O149" i="5"/>
  <c r="M150" i="5"/>
  <c r="O150" i="5"/>
  <c r="M151" i="5"/>
  <c r="O151" i="5"/>
  <c r="M152" i="5"/>
  <c r="O152" i="5"/>
  <c r="M153" i="5"/>
  <c r="O153" i="5"/>
  <c r="P153" i="5" s="1"/>
  <c r="M154" i="5"/>
  <c r="O154" i="5"/>
  <c r="K11" i="4"/>
  <c r="I17" i="4"/>
  <c r="L17" i="4"/>
  <c r="N17" i="4"/>
  <c r="I18" i="4"/>
  <c r="L18" i="4"/>
  <c r="O18" i="4"/>
  <c r="I19" i="4"/>
  <c r="L19" i="4"/>
  <c r="N19" i="4"/>
  <c r="O19" i="4"/>
  <c r="L20" i="4"/>
  <c r="L27" i="4"/>
  <c r="N27" i="4"/>
  <c r="L28" i="4"/>
  <c r="N28" i="4"/>
  <c r="L29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O55" i="4" s="1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O71" i="4" s="1"/>
  <c r="L72" i="4"/>
  <c r="N72" i="4"/>
  <c r="D89" i="4"/>
  <c r="D91" i="4"/>
  <c r="J93" i="4"/>
  <c r="L93" i="4"/>
  <c r="D96" i="4"/>
  <c r="J99" i="4"/>
  <c r="M99" i="4"/>
  <c r="O99" i="4"/>
  <c r="J100" i="4"/>
  <c r="M100" i="4"/>
  <c r="O100" i="4"/>
  <c r="P100" i="4" s="1"/>
  <c r="M101" i="4"/>
  <c r="O101" i="4"/>
  <c r="P101" i="4"/>
  <c r="O105" i="4"/>
  <c r="P105" i="4"/>
  <c r="M108" i="4"/>
  <c r="O108" i="4"/>
  <c r="M109" i="4"/>
  <c r="O109" i="4"/>
  <c r="M110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O17" i="3" s="1"/>
  <c r="L18" i="3"/>
  <c r="N19" i="3"/>
  <c r="L20" i="3"/>
  <c r="L27" i="3"/>
  <c r="N27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O66" i="3" s="1"/>
  <c r="L67" i="3"/>
  <c r="N67" i="3"/>
  <c r="L68" i="3"/>
  <c r="N68" i="3"/>
  <c r="O68" i="3" s="1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P99" i="3" s="1"/>
  <c r="O99" i="3"/>
  <c r="J100" i="3"/>
  <c r="M100" i="3"/>
  <c r="O100" i="3"/>
  <c r="P100" i="3" s="1"/>
  <c r="M101" i="3"/>
  <c r="O101" i="3"/>
  <c r="P101" i="3"/>
  <c r="M108" i="3"/>
  <c r="O108" i="3"/>
  <c r="M109" i="3"/>
  <c r="O109" i="3"/>
  <c r="M110" i="3"/>
  <c r="O110" i="3"/>
  <c r="M111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F14" i="2" s="1"/>
  <c r="E19" i="2" s="1"/>
  <c r="D17" i="2"/>
  <c r="F17" i="2" s="1"/>
  <c r="E17" i="2"/>
  <c r="D18" i="2"/>
  <c r="E18" i="2"/>
  <c r="F18" i="2" s="1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F17" i="1" s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D8" i="3"/>
  <c r="D90" i="3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C51" i="27"/>
  <c r="C52" i="27" s="1"/>
  <c r="C53" i="27" s="1"/>
  <c r="C54" i="27" s="1"/>
  <c r="C55" i="27"/>
  <c r="C56" i="27" s="1"/>
  <c r="C57" i="27" s="1"/>
  <c r="C58" i="27" s="1"/>
  <c r="C59" i="27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B18" i="25"/>
  <c r="P99" i="23"/>
  <c r="O18" i="23"/>
  <c r="P100" i="22"/>
  <c r="B104" i="11"/>
  <c r="P104" i="10"/>
  <c r="B24" i="10"/>
  <c r="B104" i="9"/>
  <c r="B23" i="9"/>
  <c r="B102" i="5"/>
  <c r="O20" i="5"/>
  <c r="O20" i="4"/>
  <c r="B102" i="3"/>
  <c r="B21" i="3"/>
  <c r="O19" i="25"/>
  <c r="O18" i="25"/>
  <c r="B19" i="25"/>
  <c r="B20" i="25"/>
  <c r="C48" i="25"/>
  <c r="C49" i="25" s="1"/>
  <c r="C50" i="25" s="1"/>
  <c r="C51" i="25" s="1"/>
  <c r="C52" i="25"/>
  <c r="C53" i="25" s="1"/>
  <c r="C54" i="25" s="1"/>
  <c r="C55" i="25" s="1"/>
  <c r="C56" i="25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I18" i="25"/>
  <c r="C99" i="27"/>
  <c r="C100" i="27"/>
  <c r="C101" i="27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/>
  <c r="B18" i="24"/>
  <c r="P102" i="5"/>
  <c r="C47" i="29"/>
  <c r="C48" i="29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100" i="28"/>
  <c r="C101" i="28" s="1"/>
  <c r="C102" i="28" s="1"/>
  <c r="C103" i="28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P100" i="23"/>
  <c r="P101" i="22"/>
  <c r="O20" i="22"/>
  <c r="P104" i="11"/>
  <c r="P105" i="10"/>
  <c r="O24" i="10"/>
  <c r="B25" i="10"/>
  <c r="B24" i="9"/>
  <c r="P103" i="8"/>
  <c r="B23" i="8"/>
  <c r="P105" i="7"/>
  <c r="B104" i="6"/>
  <c r="O22" i="6"/>
  <c r="B22" i="5"/>
  <c r="O21" i="4"/>
  <c r="P102" i="3"/>
  <c r="M18" i="24"/>
  <c r="N18" i="24" s="1"/>
  <c r="B100" i="24"/>
  <c r="N99" i="24"/>
  <c r="O99" i="24" s="1"/>
  <c r="P99" i="24" s="1"/>
  <c r="L99" i="24"/>
  <c r="M99" i="24"/>
  <c r="J99" i="24"/>
  <c r="D8" i="23"/>
  <c r="D90" i="23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/>
  <c r="B107" i="10"/>
  <c r="B26" i="10"/>
  <c r="B24" i="8"/>
  <c r="B107" i="7"/>
  <c r="B26" i="7"/>
  <c r="B24" i="6"/>
  <c r="B104" i="4"/>
  <c r="N22" i="3"/>
  <c r="O22" i="3" s="1"/>
  <c r="C54" i="31"/>
  <c r="C55" i="31"/>
  <c r="C56" i="3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E13" i="17"/>
  <c r="H3" i="17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O18" i="31"/>
  <c r="P99" i="29"/>
  <c r="B100" i="29"/>
  <c r="B19" i="29"/>
  <c r="O18" i="28"/>
  <c r="O22" i="25"/>
  <c r="P101" i="24"/>
  <c r="O21" i="23"/>
  <c r="P102" i="23"/>
  <c r="P103" i="22"/>
  <c r="O22" i="22"/>
  <c r="P106" i="11"/>
  <c r="O25" i="11"/>
  <c r="B108" i="10"/>
  <c r="P107" i="10"/>
  <c r="O26" i="10"/>
  <c r="O25" i="9"/>
  <c r="B26" i="9"/>
  <c r="P105" i="8"/>
  <c r="P107" i="7"/>
  <c r="O26" i="7"/>
  <c r="B27" i="7"/>
  <c r="P105" i="6"/>
  <c r="B106" i="6"/>
  <c r="O24" i="6"/>
  <c r="P104" i="5"/>
  <c r="O23" i="5"/>
  <c r="P104" i="4"/>
  <c r="O23" i="4"/>
  <c r="B24" i="4"/>
  <c r="B105" i="3"/>
  <c r="K18" i="27"/>
  <c r="B103" i="23"/>
  <c r="B100" i="27"/>
  <c r="B19" i="27"/>
  <c r="L18" i="27"/>
  <c r="I18" i="27"/>
  <c r="M18" i="27"/>
  <c r="N18" i="27"/>
  <c r="O18" i="27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/>
  <c r="B28" i="7"/>
  <c r="P99" i="30"/>
  <c r="C99" i="13"/>
  <c r="C100" i="13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O25" i="28"/>
  <c r="O29" i="28"/>
  <c r="D18" i="1"/>
  <c r="C12" i="1"/>
  <c r="D19" i="1"/>
  <c r="B29" i="10"/>
  <c r="O27" i="28"/>
  <c r="I12" i="37"/>
  <c r="I13" i="37" s="1"/>
  <c r="I12" i="24"/>
  <c r="I24" i="25"/>
  <c r="I12" i="40"/>
  <c r="I13" i="40" s="1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18" i="41"/>
  <c r="C19" i="41"/>
  <c r="C20" i="41" s="1"/>
  <c r="C21" i="41" s="1"/>
  <c r="C22" i="41" s="1"/>
  <c r="C23" i="41"/>
  <c r="C24" i="41" s="1"/>
  <c r="C25" i="41" s="1"/>
  <c r="C26" i="41" s="1"/>
  <c r="C27" i="4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O18" i="40"/>
  <c r="O26" i="40"/>
  <c r="O42" i="40"/>
  <c r="O38" i="40"/>
  <c r="O64" i="40"/>
  <c r="B18" i="39"/>
  <c r="B18" i="37"/>
  <c r="P100" i="30"/>
  <c r="O53" i="28"/>
  <c r="B103" i="27"/>
  <c r="B25" i="25"/>
  <c r="O24" i="25"/>
  <c r="B25" i="22"/>
  <c r="B28" i="11"/>
  <c r="B109" i="9"/>
  <c r="B107" i="5"/>
  <c r="A2" i="1"/>
  <c r="A2" i="2" s="1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/>
  <c r="C39" i="42" s="1"/>
  <c r="C40" i="42" s="1"/>
  <c r="C41" i="42" s="1"/>
  <c r="C42" i="42" s="1"/>
  <c r="C43" i="42" s="1"/>
  <c r="C44" i="42" s="1"/>
  <c r="C100" i="42"/>
  <c r="C101" i="42"/>
  <c r="C102" i="42" s="1"/>
  <c r="C103" i="42" s="1"/>
  <c r="C104" i="42" s="1"/>
  <c r="C105" i="42"/>
  <c r="C106" i="42" s="1"/>
  <c r="C107" i="42" s="1"/>
  <c r="C108" i="42" s="1"/>
  <c r="C109" i="42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/>
  <c r="C102" i="41"/>
  <c r="C103" i="41" s="1"/>
  <c r="C104" i="41" s="1"/>
  <c r="C105" i="41" s="1"/>
  <c r="C106" i="41"/>
  <c r="C107" i="41" s="1"/>
  <c r="C108" i="41" s="1"/>
  <c r="C109" i="41" s="1"/>
  <c r="C110" i="4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O47" i="30"/>
  <c r="O65" i="24"/>
  <c r="O52" i="30"/>
  <c r="O46" i="13"/>
  <c r="O50" i="29"/>
  <c r="O54" i="37"/>
  <c r="O32" i="37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27"/>
  <c r="I10" i="8"/>
  <c r="I10" i="41"/>
  <c r="E99" i="41" s="1"/>
  <c r="F99" i="41" s="1"/>
  <c r="D100" i="41" s="1"/>
  <c r="I10" i="22"/>
  <c r="D94" i="22" s="1"/>
  <c r="I10" i="6"/>
  <c r="D93" i="6" s="1"/>
  <c r="I10" i="37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I10" i="38"/>
  <c r="I10" i="30"/>
  <c r="D93" i="30" s="1"/>
  <c r="C99" i="30" s="1"/>
  <c r="I10" i="9"/>
  <c r="I10" i="13"/>
  <c r="A4" i="1"/>
  <c r="O23" i="28"/>
  <c r="B108" i="6"/>
  <c r="B21" i="31"/>
  <c r="I20" i="31"/>
  <c r="J101" i="31"/>
  <c r="B102" i="31"/>
  <c r="O25" i="31"/>
  <c r="O41" i="31"/>
  <c r="E44" i="17"/>
  <c r="J92" i="41"/>
  <c r="L86" i="41" s="1"/>
  <c r="J92" i="39"/>
  <c r="N87" i="39" s="1"/>
  <c r="J92" i="11"/>
  <c r="J92" i="27"/>
  <c r="L86" i="27" s="1"/>
  <c r="M19" i="2"/>
  <c r="J92" i="22"/>
  <c r="M87" i="22" s="1"/>
  <c r="J92" i="5"/>
  <c r="L86" i="5" s="1"/>
  <c r="J92" i="4"/>
  <c r="L86" i="4" s="1"/>
  <c r="J92" i="30"/>
  <c r="L86" i="30" s="1"/>
  <c r="J92" i="38"/>
  <c r="L86" i="38" s="1"/>
  <c r="J92" i="13"/>
  <c r="L86" i="13" s="1"/>
  <c r="J92" i="24"/>
  <c r="L86" i="24" s="1"/>
  <c r="J92" i="10"/>
  <c r="J92" i="6"/>
  <c r="M87" i="6" s="1"/>
  <c r="J92" i="31"/>
  <c r="J92" i="7"/>
  <c r="L86" i="7" s="1"/>
  <c r="J92" i="25"/>
  <c r="M87" i="25" s="1"/>
  <c r="A4" i="2"/>
  <c r="J92" i="28"/>
  <c r="J92" i="8"/>
  <c r="L86" i="8" s="1"/>
  <c r="J92" i="40"/>
  <c r="L86" i="40" s="1"/>
  <c r="J92" i="23"/>
  <c r="L86" i="23" s="1"/>
  <c r="J92" i="3"/>
  <c r="M87" i="3" s="1"/>
  <c r="J92" i="29"/>
  <c r="L86" i="29" s="1"/>
  <c r="J92" i="42"/>
  <c r="L86" i="42" s="1"/>
  <c r="J92" i="9"/>
  <c r="J92" i="37"/>
  <c r="L86" i="37" s="1"/>
  <c r="O57" i="27"/>
  <c r="O54" i="25"/>
  <c r="C76" i="2"/>
  <c r="C61" i="2"/>
  <c r="J94" i="31"/>
  <c r="J95" i="31" s="1"/>
  <c r="J94" i="22"/>
  <c r="J95" i="22" s="1"/>
  <c r="J94" i="37"/>
  <c r="J95" i="37" s="1"/>
  <c r="J94" i="5"/>
  <c r="J95" i="5" s="1"/>
  <c r="J94" i="23"/>
  <c r="J95" i="23" s="1"/>
  <c r="J94" i="41"/>
  <c r="J95" i="41" s="1"/>
  <c r="J94" i="24"/>
  <c r="J95" i="24" s="1"/>
  <c r="J94" i="10"/>
  <c r="J95" i="10" s="1"/>
  <c r="J94" i="29"/>
  <c r="J95" i="29" s="1"/>
  <c r="J94" i="39"/>
  <c r="J95" i="39" s="1"/>
  <c r="J94" i="42"/>
  <c r="J95" i="42" s="1"/>
  <c r="J94" i="40"/>
  <c r="J95" i="40" s="1"/>
  <c r="C59" i="1"/>
  <c r="C77" i="1"/>
  <c r="D94" i="13"/>
  <c r="D92" i="13"/>
  <c r="E99" i="13" s="1"/>
  <c r="F99" i="13" s="1"/>
  <c r="G99" i="13" s="1"/>
  <c r="D94" i="23"/>
  <c r="D93" i="37"/>
  <c r="C99" i="37" s="1"/>
  <c r="C100" i="37" s="1"/>
  <c r="C101" i="37" s="1"/>
  <c r="C102" i="37" s="1"/>
  <c r="C103" i="37" s="1"/>
  <c r="C104" i="37" s="1"/>
  <c r="O31" i="9"/>
  <c r="O54" i="13"/>
  <c r="O27" i="24"/>
  <c r="O64" i="23"/>
  <c r="O24" i="40"/>
  <c r="D109" i="6"/>
  <c r="B109" i="6"/>
  <c r="D104" i="27"/>
  <c r="D110" i="11"/>
  <c r="B110" i="11"/>
  <c r="O26" i="6"/>
  <c r="L20" i="31"/>
  <c r="O20" i="31"/>
  <c r="O18" i="38"/>
  <c r="O65" i="38"/>
  <c r="B18" i="38"/>
  <c r="I17" i="38"/>
  <c r="D94" i="5"/>
  <c r="D93" i="3"/>
  <c r="C99" i="3" s="1"/>
  <c r="D94" i="6"/>
  <c r="I13" i="24"/>
  <c r="F18" i="1"/>
  <c r="I12" i="42"/>
  <c r="I13" i="42" s="1"/>
  <c r="I12" i="4"/>
  <c r="I13" i="4" s="1"/>
  <c r="I12" i="10"/>
  <c r="I13" i="10" s="1"/>
  <c r="I12" i="29"/>
  <c r="I13" i="29" s="1"/>
  <c r="I12" i="25"/>
  <c r="I13" i="25" s="1"/>
  <c r="I12" i="6"/>
  <c r="I13" i="6" s="1"/>
  <c r="I12" i="11"/>
  <c r="I13" i="11" s="1"/>
  <c r="I12" i="30"/>
  <c r="I13" i="30" s="1"/>
  <c r="I12" i="3"/>
  <c r="I13" i="3" s="1"/>
  <c r="I12" i="9"/>
  <c r="I13" i="9" s="1"/>
  <c r="I12" i="5"/>
  <c r="I13" i="5" s="1"/>
  <c r="I12" i="8"/>
  <c r="I13" i="8" s="1"/>
  <c r="I12" i="28"/>
  <c r="I13" i="28" s="1"/>
  <c r="I12" i="41"/>
  <c r="I13" i="41" s="1"/>
  <c r="I12" i="23"/>
  <c r="I13" i="23" s="1"/>
  <c r="I12" i="22"/>
  <c r="I13" i="22" s="1"/>
  <c r="I12" i="13"/>
  <c r="I12" i="7"/>
  <c r="I13" i="7" s="1"/>
  <c r="I12" i="27"/>
  <c r="I13" i="27" s="1"/>
  <c r="I12" i="31"/>
  <c r="I13" i="31" s="1"/>
  <c r="I12" i="38"/>
  <c r="I13" i="38" s="1"/>
  <c r="I12" i="39"/>
  <c r="I13" i="39" s="1"/>
  <c r="O50" i="23"/>
  <c r="O29" i="5"/>
  <c r="O57" i="9"/>
  <c r="O50" i="13"/>
  <c r="O43" i="27"/>
  <c r="O68" i="25"/>
  <c r="D108" i="5"/>
  <c r="B108" i="5" s="1"/>
  <c r="I13" i="13"/>
  <c r="D107" i="22"/>
  <c r="B107" i="22" s="1"/>
  <c r="J103" i="27"/>
  <c r="D103" i="28"/>
  <c r="J107" i="5"/>
  <c r="D109" i="8"/>
  <c r="J108" i="6"/>
  <c r="D28" i="6"/>
  <c r="B28" i="6" s="1"/>
  <c r="D27" i="4"/>
  <c r="B27" i="4" s="1"/>
  <c r="D26" i="22"/>
  <c r="D25" i="23"/>
  <c r="B25" i="23" s="1"/>
  <c r="D29" i="9"/>
  <c r="D28" i="8"/>
  <c r="D22" i="28"/>
  <c r="D27" i="3"/>
  <c r="D19" i="37"/>
  <c r="D18" i="42"/>
  <c r="D22" i="31"/>
  <c r="B22" i="31" s="1"/>
  <c r="D26" i="25"/>
  <c r="B26" i="25" s="1"/>
  <c r="D18" i="40"/>
  <c r="B18" i="40" s="1"/>
  <c r="D29" i="11"/>
  <c r="B29" i="11" s="1"/>
  <c r="D27" i="5"/>
  <c r="B27" i="5" s="1"/>
  <c r="D30" i="10"/>
  <c r="D21" i="30"/>
  <c r="D19" i="38"/>
  <c r="D24" i="24"/>
  <c r="D22" i="29"/>
  <c r="B22" i="29" s="1"/>
  <c r="D30" i="7"/>
  <c r="B30" i="7" s="1"/>
  <c r="D19" i="39"/>
  <c r="B19" i="39" s="1"/>
  <c r="D18" i="41"/>
  <c r="B18" i="41" s="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C45" i="46"/>
  <c r="C46" i="46"/>
  <c r="C47" i="46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O35" i="46"/>
  <c r="O51" i="46"/>
  <c r="O43" i="46"/>
  <c r="O69" i="46"/>
  <c r="C127" i="45"/>
  <c r="C128" i="45" s="1"/>
  <c r="C129" i="45" s="1"/>
  <c r="C130" i="45" s="1"/>
  <c r="C131" i="45" s="1"/>
  <c r="C132" i="45" s="1"/>
  <c r="C133" i="45" s="1"/>
  <c r="C134" i="45"/>
  <c r="C135" i="45" s="1"/>
  <c r="C136" i="45" s="1"/>
  <c r="C137" i="45" s="1"/>
  <c r="C138" i="45" s="1"/>
  <c r="C139" i="45" s="1"/>
  <c r="C140" i="45" s="1"/>
  <c r="C141" i="45" s="1"/>
  <c r="C142" i="45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O51" i="45"/>
  <c r="O67" i="45"/>
  <c r="O55" i="45"/>
  <c r="O71" i="45"/>
  <c r="O59" i="45"/>
  <c r="C45" i="44"/>
  <c r="C46" i="44"/>
  <c r="C47" i="44"/>
  <c r="C48" i="44" s="1"/>
  <c r="C49" i="44" s="1"/>
  <c r="C50" i="44"/>
  <c r="C51" i="44" s="1"/>
  <c r="C52" i="44" s="1"/>
  <c r="C53" i="44" s="1"/>
  <c r="C54" i="44" s="1"/>
  <c r="C55" i="44" s="1"/>
  <c r="C56" i="44" s="1"/>
  <c r="C57" i="44" s="1"/>
  <c r="C58" i="44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F17" i="44"/>
  <c r="D18" i="44" s="1"/>
  <c r="O25" i="44"/>
  <c r="O33" i="44"/>
  <c r="O41" i="44"/>
  <c r="O49" i="44"/>
  <c r="O52" i="44"/>
  <c r="O57" i="44"/>
  <c r="O65" i="44"/>
  <c r="O69" i="44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O38" i="43"/>
  <c r="O54" i="43"/>
  <c r="O70" i="43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O59" i="42"/>
  <c r="O61" i="42"/>
  <c r="O21" i="42"/>
  <c r="O67" i="41"/>
  <c r="O31" i="41"/>
  <c r="O33" i="41"/>
  <c r="O30" i="40"/>
  <c r="O40" i="40"/>
  <c r="O50" i="40"/>
  <c r="O58" i="40"/>
  <c r="O60" i="40"/>
  <c r="O45" i="40"/>
  <c r="O17" i="40"/>
  <c r="P99" i="39"/>
  <c r="O18" i="39"/>
  <c r="O55" i="39"/>
  <c r="O67" i="39"/>
  <c r="B19" i="38"/>
  <c r="O31" i="38"/>
  <c r="P99" i="37"/>
  <c r="O18" i="37"/>
  <c r="O22" i="37"/>
  <c r="O24" i="37"/>
  <c r="O26" i="37"/>
  <c r="O30" i="37"/>
  <c r="O36" i="37"/>
  <c r="O38" i="37"/>
  <c r="O56" i="37"/>
  <c r="O58" i="37"/>
  <c r="O17" i="37"/>
  <c r="O70" i="37"/>
  <c r="O52" i="37"/>
  <c r="O62" i="37"/>
  <c r="O66" i="37"/>
  <c r="O68" i="37"/>
  <c r="O34" i="37"/>
  <c r="O20" i="37"/>
  <c r="O50" i="37"/>
  <c r="O28" i="37"/>
  <c r="O23" i="31"/>
  <c r="O55" i="31"/>
  <c r="O59" i="31"/>
  <c r="O67" i="31"/>
  <c r="O47" i="31"/>
  <c r="O51" i="31"/>
  <c r="O72" i="31"/>
  <c r="O35" i="31"/>
  <c r="O23" i="30"/>
  <c r="O52" i="29"/>
  <c r="O56" i="29"/>
  <c r="O34" i="29"/>
  <c r="O40" i="29"/>
  <c r="O64" i="29"/>
  <c r="B103" i="28"/>
  <c r="O45" i="28"/>
  <c r="O57" i="28"/>
  <c r="O59" i="28"/>
  <c r="O61" i="28"/>
  <c r="O67" i="28"/>
  <c r="O71" i="28"/>
  <c r="B22" i="28"/>
  <c r="O31" i="28"/>
  <c r="O47" i="28"/>
  <c r="O51" i="27"/>
  <c r="O53" i="27"/>
  <c r="O59" i="27"/>
  <c r="O61" i="27"/>
  <c r="O45" i="27"/>
  <c r="O23" i="27"/>
  <c r="O25" i="27"/>
  <c r="O47" i="27"/>
  <c r="O65" i="27"/>
  <c r="O67" i="27"/>
  <c r="O33" i="27"/>
  <c r="O55" i="27"/>
  <c r="O72" i="25"/>
  <c r="O64" i="25"/>
  <c r="O62" i="25"/>
  <c r="O60" i="25"/>
  <c r="O56" i="25"/>
  <c r="O28" i="25"/>
  <c r="O50" i="25"/>
  <c r="O48" i="25"/>
  <c r="O44" i="25"/>
  <c r="O30" i="25"/>
  <c r="O37" i="24"/>
  <c r="O33" i="24"/>
  <c r="O67" i="24"/>
  <c r="O63" i="24"/>
  <c r="O61" i="24"/>
  <c r="O55" i="24"/>
  <c r="O53" i="24"/>
  <c r="O25" i="24"/>
  <c r="O71" i="24"/>
  <c r="O47" i="24"/>
  <c r="O35" i="24"/>
  <c r="O42" i="23"/>
  <c r="O70" i="23"/>
  <c r="O33" i="23"/>
  <c r="O60" i="23"/>
  <c r="O52" i="23"/>
  <c r="O46" i="23"/>
  <c r="O71" i="22"/>
  <c r="O43" i="22"/>
  <c r="O41" i="22"/>
  <c r="O39" i="22"/>
  <c r="O59" i="22"/>
  <c r="O37" i="22"/>
  <c r="O67" i="22"/>
  <c r="O47" i="22"/>
  <c r="O69" i="11"/>
  <c r="O67" i="11"/>
  <c r="O35" i="10"/>
  <c r="O61" i="9"/>
  <c r="O47" i="9"/>
  <c r="O63" i="9"/>
  <c r="O53" i="9"/>
  <c r="O51" i="9"/>
  <c r="O38" i="9"/>
  <c r="B109" i="8"/>
  <c r="O72" i="8"/>
  <c r="O68" i="8"/>
  <c r="O60" i="8"/>
  <c r="O58" i="8"/>
  <c r="O54" i="8"/>
  <c r="O52" i="8"/>
  <c r="O50" i="8"/>
  <c r="O62" i="8"/>
  <c r="O56" i="8"/>
  <c r="O66" i="8"/>
  <c r="O70" i="8"/>
  <c r="O51" i="7"/>
  <c r="O45" i="7"/>
  <c r="O57" i="7"/>
  <c r="O49" i="7"/>
  <c r="O69" i="7"/>
  <c r="O39" i="6"/>
  <c r="O35" i="6"/>
  <c r="O67" i="6"/>
  <c r="O57" i="6"/>
  <c r="O55" i="6"/>
  <c r="O49" i="6"/>
  <c r="O47" i="6"/>
  <c r="O45" i="6"/>
  <c r="O28" i="5"/>
  <c r="O40" i="5"/>
  <c r="O38" i="5"/>
  <c r="O44" i="4"/>
  <c r="B27" i="3"/>
  <c r="O34" i="3"/>
  <c r="C45" i="13"/>
  <c r="C46" i="13" s="1"/>
  <c r="C47" i="13" s="1"/>
  <c r="C48" i="13" s="1"/>
  <c r="C49" i="13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/>
  <c r="C66" i="13" s="1"/>
  <c r="C67" i="13" s="1"/>
  <c r="C68" i="13" s="1"/>
  <c r="C69" i="13" s="1"/>
  <c r="C70" i="13" s="1"/>
  <c r="C71" i="13" s="1"/>
  <c r="C72" i="13" s="1"/>
  <c r="D103" i="29"/>
  <c r="D94" i="4"/>
  <c r="B101" i="30"/>
  <c r="O23" i="7"/>
  <c r="B104" i="27"/>
  <c r="C45" i="4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45" i="3"/>
  <c r="C46" i="3" s="1"/>
  <c r="C47" i="3" s="1"/>
  <c r="C48" i="3" s="1"/>
  <c r="C49" i="3" s="1"/>
  <c r="C50" i="3" s="1"/>
  <c r="C51" i="3" s="1"/>
  <c r="C52" i="3" s="1"/>
  <c r="C53" i="3"/>
  <c r="C54" i="3" s="1"/>
  <c r="C55" i="3" s="1"/>
  <c r="C56" i="3" s="1"/>
  <c r="C57" i="3" s="1"/>
  <c r="C58" i="3" s="1"/>
  <c r="C59" i="3" s="1"/>
  <c r="C60" i="3" s="1"/>
  <c r="C61" i="3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O19" i="3"/>
  <c r="O21" i="11"/>
  <c r="D94" i="25"/>
  <c r="O65" i="7"/>
  <c r="P103" i="11"/>
  <c r="P101" i="11"/>
  <c r="N87" i="6"/>
  <c r="C100" i="24"/>
  <c r="C101" i="24"/>
  <c r="C102" i="24" s="1"/>
  <c r="C103" i="24" s="1"/>
  <c r="C104" i="24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D99" i="24"/>
  <c r="O62" i="3"/>
  <c r="P99" i="4"/>
  <c r="P100" i="6"/>
  <c r="P104" i="7"/>
  <c r="P99" i="7"/>
  <c r="O20" i="7"/>
  <c r="P103" i="10"/>
  <c r="P99" i="10"/>
  <c r="O18" i="22"/>
  <c r="P99" i="5"/>
  <c r="O48" i="5"/>
  <c r="O31" i="7"/>
  <c r="O22" i="7"/>
  <c r="P102" i="11"/>
  <c r="O21" i="10"/>
  <c r="O37" i="27"/>
  <c r="O39" i="27"/>
  <c r="O36" i="29"/>
  <c r="O17" i="4"/>
  <c r="P100" i="5"/>
  <c r="O51" i="6"/>
  <c r="O55" i="7"/>
  <c r="O39" i="7"/>
  <c r="O19" i="7"/>
  <c r="P100" i="11"/>
  <c r="O37" i="11"/>
  <c r="O20" i="11"/>
  <c r="P99" i="22"/>
  <c r="O65" i="28"/>
  <c r="O22" i="4"/>
  <c r="O23" i="6"/>
  <c r="P100" i="24"/>
  <c r="O17" i="28"/>
  <c r="O27" i="7"/>
  <c r="O39" i="8"/>
  <c r="O58" i="9"/>
  <c r="P102" i="10"/>
  <c r="P99" i="11"/>
  <c r="O19" i="11"/>
  <c r="O31" i="22"/>
  <c r="O29" i="22"/>
  <c r="O58" i="23"/>
  <c r="O54" i="23"/>
  <c r="O36" i="25"/>
  <c r="O34" i="25"/>
  <c r="O29" i="27"/>
  <c r="P99" i="25"/>
  <c r="P100" i="25"/>
  <c r="O35" i="28"/>
  <c r="P106" i="7"/>
  <c r="O24" i="9"/>
  <c r="O25" i="10"/>
  <c r="P99" i="27"/>
  <c r="O25" i="39"/>
  <c r="P103" i="6"/>
  <c r="O39" i="28"/>
  <c r="O26" i="29"/>
  <c r="P103" i="5"/>
  <c r="O69" i="31"/>
  <c r="O27" i="31"/>
  <c r="O37" i="31"/>
  <c r="O71" i="31"/>
  <c r="P99" i="28"/>
  <c r="O38" i="39"/>
  <c r="O24" i="4"/>
  <c r="O27" i="9"/>
  <c r="O54" i="40"/>
  <c r="O37" i="42"/>
  <c r="P107" i="8"/>
  <c r="O27" i="11"/>
  <c r="O23" i="23"/>
  <c r="O20" i="28"/>
  <c r="P101" i="29"/>
  <c r="O51" i="42"/>
  <c r="P109" i="10"/>
  <c r="P105" i="22"/>
  <c r="P103" i="24"/>
  <c r="P102" i="27"/>
  <c r="P103" i="23"/>
  <c r="O19" i="29"/>
  <c r="O61" i="41"/>
  <c r="C139" i="24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D111" i="10"/>
  <c r="B111" i="10" s="1"/>
  <c r="D100" i="38"/>
  <c r="B100" i="38" s="1"/>
  <c r="J109" i="11"/>
  <c r="B103" i="29"/>
  <c r="J102" i="29"/>
  <c r="D100" i="39"/>
  <c r="B22" i="27"/>
  <c r="D110" i="9"/>
  <c r="D111" i="7"/>
  <c r="D102" i="30"/>
  <c r="B102" i="30" s="1"/>
  <c r="J110" i="10"/>
  <c r="B100" i="39"/>
  <c r="D103" i="31"/>
  <c r="B103" i="31" s="1"/>
  <c r="D106" i="23"/>
  <c r="J99" i="37"/>
  <c r="D105" i="24"/>
  <c r="B105" i="24" s="1"/>
  <c r="D108" i="4"/>
  <c r="D108" i="3"/>
  <c r="J99" i="38"/>
  <c r="D107" i="25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8" i="43"/>
  <c r="O20" i="43"/>
  <c r="O28" i="43"/>
  <c r="O32" i="43"/>
  <c r="O36" i="43"/>
  <c r="O40" i="43"/>
  <c r="O44" i="43"/>
  <c r="O48" i="43"/>
  <c r="O52" i="43"/>
  <c r="O56" i="43"/>
  <c r="O60" i="43"/>
  <c r="O64" i="43"/>
  <c r="O68" i="43"/>
  <c r="O72" i="43"/>
  <c r="O22" i="43"/>
  <c r="O26" i="43"/>
  <c r="O43" i="42"/>
  <c r="E99" i="42"/>
  <c r="F99" i="42" s="1"/>
  <c r="O45" i="42"/>
  <c r="O49" i="42"/>
  <c r="O53" i="42"/>
  <c r="O55" i="42"/>
  <c r="O57" i="41"/>
  <c r="O63" i="41"/>
  <c r="O71" i="41"/>
  <c r="O27" i="41"/>
  <c r="O55" i="41"/>
  <c r="O19" i="39"/>
  <c r="O31" i="39"/>
  <c r="O35" i="39"/>
  <c r="O51" i="39"/>
  <c r="O41" i="39"/>
  <c r="O45" i="39"/>
  <c r="C45" i="38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O38" i="38"/>
  <c r="J92" i="43"/>
  <c r="J92" i="44"/>
  <c r="N87" i="44" s="1"/>
  <c r="C99" i="6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D94" i="29"/>
  <c r="I10" i="44"/>
  <c r="D92" i="44" s="1"/>
  <c r="J96" i="44" s="1"/>
  <c r="I10" i="46"/>
  <c r="I10" i="43"/>
  <c r="E99" i="43" s="1"/>
  <c r="F99" i="43" s="1"/>
  <c r="N51" i="17"/>
  <c r="D51" i="17"/>
  <c r="C51" i="17"/>
  <c r="F51" i="17"/>
  <c r="O51" i="17"/>
  <c r="E51" i="17"/>
  <c r="P124" i="10" l="1"/>
  <c r="M87" i="38"/>
  <c r="M87" i="23"/>
  <c r="L86" i="22"/>
  <c r="N87" i="22"/>
  <c r="O87" i="22" s="1"/>
  <c r="N87" i="38"/>
  <c r="P129" i="4"/>
  <c r="P113" i="4"/>
  <c r="M87" i="39"/>
  <c r="O87" i="39" s="1"/>
  <c r="C82" i="2"/>
  <c r="C59" i="2"/>
  <c r="C14" i="2"/>
  <c r="C39" i="2"/>
  <c r="N87" i="29"/>
  <c r="C77" i="2"/>
  <c r="C80" i="2"/>
  <c r="N87" i="42"/>
  <c r="M87" i="29"/>
  <c r="C28" i="2"/>
  <c r="C62" i="2"/>
  <c r="C10" i="2"/>
  <c r="N87" i="30"/>
  <c r="C56" i="2"/>
  <c r="C8" i="2"/>
  <c r="C55" i="2"/>
  <c r="N87" i="24"/>
  <c r="C73" i="2"/>
  <c r="N87" i="8"/>
  <c r="L86" i="25"/>
  <c r="C50" i="2"/>
  <c r="C22" i="2"/>
  <c r="M87" i="8"/>
  <c r="M87" i="30"/>
  <c r="O87" i="30" s="1"/>
  <c r="P107" i="38"/>
  <c r="P128" i="25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28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F17" i="45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N87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N87" i="25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2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D18" i="45"/>
  <c r="C10" i="1"/>
  <c r="C28" i="1"/>
  <c r="C61" i="1"/>
  <c r="C79" i="1"/>
  <c r="D94" i="45"/>
  <c r="D92" i="45"/>
  <c r="J96" i="45" s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27" i="5"/>
  <c r="O72" i="6"/>
  <c r="O18" i="13"/>
  <c r="F17" i="13"/>
  <c r="H17" i="13" s="1"/>
  <c r="O63" i="27"/>
  <c r="O65" i="4"/>
  <c r="O63" i="4"/>
  <c r="O61" i="4"/>
  <c r="O59" i="4"/>
  <c r="O57" i="4"/>
  <c r="O53" i="4"/>
  <c r="O51" i="4"/>
  <c r="O27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30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E18" i="44"/>
  <c r="F18" i="44" s="1"/>
  <c r="B18" i="44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D13" i="27"/>
  <c r="I14" i="27" s="1"/>
  <c r="D13" i="10"/>
  <c r="I14" i="10" s="1"/>
  <c r="E30" i="10" s="1"/>
  <c r="F30" i="10" s="1"/>
  <c r="D13" i="37"/>
  <c r="I14" i="37" s="1"/>
  <c r="E19" i="37" s="1"/>
  <c r="D13" i="9"/>
  <c r="I14" i="9" s="1"/>
  <c r="O35" i="8"/>
  <c r="O87" i="38"/>
  <c r="E99" i="44"/>
  <c r="F99" i="44" s="1"/>
  <c r="G99" i="44" s="1"/>
  <c r="O54" i="3"/>
  <c r="O47" i="5"/>
  <c r="D94" i="37"/>
  <c r="D92" i="37"/>
  <c r="D100" i="37" s="1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29" i="9"/>
  <c r="O54" i="10"/>
  <c r="O44" i="10"/>
  <c r="O42" i="10"/>
  <c r="O34" i="10"/>
  <c r="O68" i="11"/>
  <c r="O55" i="11"/>
  <c r="O42" i="11"/>
  <c r="O31" i="11"/>
  <c r="O72" i="13"/>
  <c r="O24" i="13"/>
  <c r="O33" i="22"/>
  <c r="O26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18" i="45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10" i="9"/>
  <c r="P130" i="11"/>
  <c r="P124" i="46"/>
  <c r="L86" i="43"/>
  <c r="L86" i="6"/>
  <c r="P117" i="5"/>
  <c r="P126" i="24"/>
  <c r="P122" i="24"/>
  <c r="P114" i="24"/>
  <c r="P112" i="24"/>
  <c r="P108" i="24"/>
  <c r="O87" i="6"/>
  <c r="O87" i="25"/>
  <c r="M87" i="24"/>
  <c r="O87" i="24" s="1"/>
  <c r="M87" i="4"/>
  <c r="O87" i="29"/>
  <c r="M87" i="27"/>
  <c r="N87" i="23"/>
  <c r="O87" i="23" s="1"/>
  <c r="N87" i="13"/>
  <c r="M87" i="43"/>
  <c r="N87" i="27"/>
  <c r="O87" i="27" s="1"/>
  <c r="P129" i="22"/>
  <c r="P125" i="22"/>
  <c r="P117" i="22"/>
  <c r="P115" i="22"/>
  <c r="P117" i="25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5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29" i="25"/>
  <c r="P123" i="25"/>
  <c r="P115" i="25"/>
  <c r="P117" i="28"/>
  <c r="P122" i="37"/>
  <c r="P128" i="37"/>
  <c r="P105" i="39"/>
  <c r="P115" i="39"/>
  <c r="N87" i="40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L86" i="39"/>
  <c r="J92" i="46"/>
  <c r="P105" i="28"/>
  <c r="P111" i="28"/>
  <c r="P100" i="37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08" i="3"/>
  <c r="P144" i="4"/>
  <c r="P140" i="4"/>
  <c r="P136" i="4"/>
  <c r="P124" i="4"/>
  <c r="P108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M87" i="5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N87" i="5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M87" i="37"/>
  <c r="D94" i="44"/>
  <c r="D92" i="46"/>
  <c r="E99" i="46" s="1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N87" i="1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N87" i="7"/>
  <c r="M87" i="7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M87" i="40"/>
  <c r="M87" i="44"/>
  <c r="O87" i="44" s="1"/>
  <c r="L86" i="44"/>
  <c r="D94" i="46"/>
  <c r="D100" i="43"/>
  <c r="B100" i="43" s="1"/>
  <c r="G99" i="43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E18" i="46"/>
  <c r="B18" i="46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M87" i="42"/>
  <c r="M87" i="13"/>
  <c r="E29" i="9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F20" i="1"/>
  <c r="D93" i="29"/>
  <c r="C99" i="3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N87" i="10"/>
  <c r="L86" i="10"/>
  <c r="M87" i="10"/>
  <c r="M87" i="11"/>
  <c r="L86" i="11"/>
  <c r="D94" i="9"/>
  <c r="D93" i="9"/>
  <c r="D94" i="8"/>
  <c r="D93" i="8"/>
  <c r="D93" i="7"/>
  <c r="D94" i="7"/>
  <c r="O18" i="24"/>
  <c r="O19" i="8"/>
  <c r="F19" i="37"/>
  <c r="B28" i="8"/>
  <c r="B26" i="22"/>
  <c r="D13" i="46"/>
  <c r="D13" i="45"/>
  <c r="D13" i="44"/>
  <c r="D13" i="43"/>
  <c r="I14" i="43" s="1"/>
  <c r="D13" i="8"/>
  <c r="I14" i="8" s="1"/>
  <c r="D13" i="4"/>
  <c r="I14" i="4" s="1"/>
  <c r="D13" i="30"/>
  <c r="I14" i="30" s="1"/>
  <c r="D13" i="6"/>
  <c r="I14" i="6" s="1"/>
  <c r="D13" i="39"/>
  <c r="I14" i="39" s="1"/>
  <c r="D13" i="28"/>
  <c r="I14" i="28" s="1"/>
  <c r="D13" i="7"/>
  <c r="I14" i="7" s="1"/>
  <c r="D13" i="5"/>
  <c r="I14" i="5" s="1"/>
  <c r="D13" i="13"/>
  <c r="D13" i="22"/>
  <c r="I14" i="22" s="1"/>
  <c r="D13" i="3"/>
  <c r="I14" i="3" s="1"/>
  <c r="D13" i="42"/>
  <c r="I14" i="42" s="1"/>
  <c r="D13" i="24"/>
  <c r="I14" i="24" s="1"/>
  <c r="D13" i="23"/>
  <c r="I14" i="23" s="1"/>
  <c r="D13" i="38"/>
  <c r="I14" i="38" s="1"/>
  <c r="D13" i="40"/>
  <c r="I14" i="40" s="1"/>
  <c r="D13" i="41"/>
  <c r="I14" i="41" s="1"/>
  <c r="D13" i="29"/>
  <c r="I14" i="29" s="1"/>
  <c r="D13" i="11"/>
  <c r="I14" i="11" s="1"/>
  <c r="D13" i="25"/>
  <c r="I14" i="25" s="1"/>
  <c r="D13" i="31"/>
  <c r="I14" i="31" s="1"/>
  <c r="O59" i="3"/>
  <c r="O49" i="3"/>
  <c r="O49" i="4"/>
  <c r="F19" i="2"/>
  <c r="F20" i="2" s="1"/>
  <c r="O20" i="3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N87" i="4"/>
  <c r="O28" i="8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09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P106" i="23"/>
  <c r="O49" i="23"/>
  <c r="O26" i="23"/>
  <c r="O68" i="24"/>
  <c r="O45" i="24"/>
  <c r="O43" i="24"/>
  <c r="O67" i="25"/>
  <c r="O46" i="25"/>
  <c r="O22" i="11"/>
  <c r="O19" i="22"/>
  <c r="P119" i="25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99" i="41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G99" i="41"/>
  <c r="H99" i="41" s="1"/>
  <c r="M88" i="41" s="1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25" i="25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3" i="31"/>
  <c r="P105" i="31"/>
  <c r="P107" i="31"/>
  <c r="P109" i="31"/>
  <c r="P99" i="43"/>
  <c r="P119" i="43"/>
  <c r="P123" i="43"/>
  <c r="B100" i="41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09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20" i="25"/>
  <c r="P116" i="25"/>
  <c r="P114" i="25"/>
  <c r="P110" i="25"/>
  <c r="P108" i="25"/>
  <c r="P110" i="28"/>
  <c r="P103" i="41"/>
  <c r="P105" i="41"/>
  <c r="P107" i="41"/>
  <c r="P111" i="41"/>
  <c r="P113" i="41"/>
  <c r="P125" i="41"/>
  <c r="P129" i="41"/>
  <c r="P99" i="42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11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0" i="38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07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N87" i="9"/>
  <c r="L86" i="9"/>
  <c r="M87" i="9"/>
  <c r="N87" i="28"/>
  <c r="L86" i="28"/>
  <c r="L86" i="31"/>
  <c r="N87" i="31"/>
  <c r="M87" i="31"/>
  <c r="M87" i="45"/>
  <c r="N87" i="3"/>
  <c r="L86" i="3"/>
  <c r="L86" i="45"/>
  <c r="M87" i="28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99" i="40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P126" i="25"/>
  <c r="P124" i="25"/>
  <c r="P122" i="25"/>
  <c r="P118" i="25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5" i="9" s="1"/>
  <c r="J94" i="4"/>
  <c r="J95" i="4" s="1"/>
  <c r="J94" i="6"/>
  <c r="J95" i="6" s="1"/>
  <c r="J94" i="11"/>
  <c r="J95" i="11" s="1"/>
  <c r="P107" i="27"/>
  <c r="P103" i="28"/>
  <c r="P114" i="29"/>
  <c r="P110" i="30"/>
  <c r="P114" i="31"/>
  <c r="P100" i="43"/>
  <c r="P108" i="43"/>
  <c r="P108" i="45"/>
  <c r="P144" i="5"/>
  <c r="P108" i="23"/>
  <c r="P129" i="24"/>
  <c r="P113" i="25"/>
  <c r="P111" i="25"/>
  <c r="P109" i="25"/>
  <c r="P107" i="25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3" i="29"/>
  <c r="P105" i="29"/>
  <c r="P107" i="29"/>
  <c r="P109" i="29"/>
  <c r="P115" i="29"/>
  <c r="P102" i="30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27" i="25"/>
  <c r="P106" i="24"/>
  <c r="P105" i="44"/>
  <c r="P112" i="45"/>
  <c r="P142" i="4"/>
  <c r="P132" i="4"/>
  <c r="P154" i="5"/>
  <c r="P112" i="2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30" i="25"/>
  <c r="P123" i="29"/>
  <c r="P127" i="29"/>
  <c r="P111" i="30"/>
  <c r="P115" i="30"/>
  <c r="P110" i="31"/>
  <c r="P112" i="31"/>
  <c r="P125" i="31"/>
  <c r="P127" i="31"/>
  <c r="P112" i="37"/>
  <c r="P100" i="39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08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21" i="25"/>
  <c r="P104" i="27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G99" i="42"/>
  <c r="D100" i="42"/>
  <c r="P126" i="6"/>
  <c r="P129" i="7"/>
  <c r="P123" i="9"/>
  <c r="P131" i="10"/>
  <c r="P110" i="11"/>
  <c r="P120" i="23"/>
  <c r="P123" i="27"/>
  <c r="P121" i="28"/>
  <c r="P108" i="39"/>
  <c r="P102" i="41"/>
  <c r="P126" i="43"/>
  <c r="P122" i="10"/>
  <c r="P120" i="10"/>
  <c r="P113" i="10"/>
  <c r="P111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J44" i="17"/>
  <c r="C33" i="17"/>
  <c r="C41" i="17"/>
  <c r="C34" i="17"/>
  <c r="C31" i="17"/>
  <c r="D18" i="17"/>
  <c r="C22" i="17"/>
  <c r="C18" i="17"/>
  <c r="C27" i="17"/>
  <c r="D32" i="17"/>
  <c r="C36" i="17"/>
  <c r="D30" i="17"/>
  <c r="D36" i="17"/>
  <c r="D39" i="17"/>
  <c r="D22" i="17"/>
  <c r="D31" i="17"/>
  <c r="D26" i="17"/>
  <c r="D37" i="17"/>
  <c r="C32" i="17"/>
  <c r="D42" i="17"/>
  <c r="D23" i="17"/>
  <c r="C28" i="17"/>
  <c r="C42" i="17"/>
  <c r="D19" i="17"/>
  <c r="C35" i="17"/>
  <c r="C19" i="17"/>
  <c r="D38" i="17"/>
  <c r="D28" i="17"/>
  <c r="D29" i="17"/>
  <c r="D34" i="17"/>
  <c r="C39" i="17"/>
  <c r="C40" i="17"/>
  <c r="C30" i="17"/>
  <c r="D35" i="17"/>
  <c r="C29" i="17"/>
  <c r="C25" i="17"/>
  <c r="D27" i="17"/>
  <c r="C23" i="17"/>
  <c r="D41" i="17"/>
  <c r="C21" i="17"/>
  <c r="D20" i="17"/>
  <c r="D21" i="17"/>
  <c r="D24" i="17"/>
  <c r="C37" i="17"/>
  <c r="C24" i="17"/>
  <c r="D40" i="17"/>
  <c r="C38" i="17"/>
  <c r="C20" i="17"/>
  <c r="D33" i="17"/>
  <c r="D25" i="17"/>
  <c r="C26" i="17"/>
  <c r="O87" i="8" l="1"/>
  <c r="O87" i="42"/>
  <c r="I99" i="44"/>
  <c r="D100" i="44"/>
  <c r="B100" i="44" s="1"/>
  <c r="E100" i="13"/>
  <c r="F100" i="13" s="1"/>
  <c r="D101" i="13" s="1"/>
  <c r="E101" i="13" s="1"/>
  <c r="O87" i="43"/>
  <c r="D19" i="44"/>
  <c r="B19" i="44" s="1"/>
  <c r="D18" i="13"/>
  <c r="G17" i="13"/>
  <c r="I17" i="13" s="1"/>
  <c r="B18" i="45"/>
  <c r="E99" i="45"/>
  <c r="F99" i="45" s="1"/>
  <c r="E18" i="45"/>
  <c r="F18" i="45" s="1"/>
  <c r="O87" i="40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O87" i="4"/>
  <c r="E19" i="27"/>
  <c r="D23" i="27" s="1"/>
  <c r="E23" i="27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M89" i="41"/>
  <c r="O87" i="9"/>
  <c r="I99" i="41"/>
  <c r="N88" i="41" s="1"/>
  <c r="N89" i="41" s="1"/>
  <c r="O87" i="13"/>
  <c r="O87" i="5"/>
  <c r="H99" i="44"/>
  <c r="J99" i="44" s="1"/>
  <c r="O87" i="11"/>
  <c r="O87" i="37"/>
  <c r="M87" i="46"/>
  <c r="N17" i="2" s="1"/>
  <c r="R132" i="2" s="1"/>
  <c r="N87" i="46"/>
  <c r="L86" i="46"/>
  <c r="O87" i="10"/>
  <c r="O87" i="41"/>
  <c r="E25" i="2"/>
  <c r="E26" i="2" s="1"/>
  <c r="E30" i="2" s="1"/>
  <c r="E32" i="2"/>
  <c r="E22" i="31"/>
  <c r="E32" i="1"/>
  <c r="E25" i="1"/>
  <c r="E26" i="1" s="1"/>
  <c r="D31" i="10"/>
  <c r="G30" i="10"/>
  <c r="E31" i="10"/>
  <c r="H30" i="10"/>
  <c r="F18" i="46"/>
  <c r="E22" i="29"/>
  <c r="E26" i="22"/>
  <c r="E27" i="4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G18" i="44"/>
  <c r="G17" i="44"/>
  <c r="E18" i="41"/>
  <c r="E19" i="39"/>
  <c r="I13" i="45"/>
  <c r="G17" i="45"/>
  <c r="E26" i="25"/>
  <c r="E18" i="40"/>
  <c r="E18" i="42"/>
  <c r="E27" i="5"/>
  <c r="E28" i="6"/>
  <c r="D20" i="37"/>
  <c r="G19" i="37"/>
  <c r="H19" i="37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F29" i="9"/>
  <c r="O87" i="7"/>
  <c r="E25" i="23"/>
  <c r="E22" i="28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E24" i="24"/>
  <c r="E28" i="8"/>
  <c r="N87" i="45"/>
  <c r="I13" i="46"/>
  <c r="H17" i="46" s="1"/>
  <c r="G17" i="46"/>
  <c r="E29" i="11"/>
  <c r="E19" i="38"/>
  <c r="E27" i="3"/>
  <c r="E30" i="7"/>
  <c r="E21" i="30"/>
  <c r="E20" i="37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6" i="46"/>
  <c r="F99" i="46"/>
  <c r="J95" i="43"/>
  <c r="I99" i="43" s="1"/>
  <c r="N88" i="43" s="1"/>
  <c r="N89" i="43" s="1"/>
  <c r="H99" i="43"/>
  <c r="M88" i="43" s="1"/>
  <c r="M89" i="43" s="1"/>
  <c r="O87" i="31"/>
  <c r="J95" i="38"/>
  <c r="O87" i="3"/>
  <c r="J95" i="13"/>
  <c r="I99" i="13" s="1"/>
  <c r="H99" i="13"/>
  <c r="O87" i="28"/>
  <c r="B100" i="42"/>
  <c r="H99" i="42"/>
  <c r="I99" i="42"/>
  <c r="I40" i="17"/>
  <c r="I42" i="17"/>
  <c r="B101" i="13" l="1"/>
  <c r="F101" i="13"/>
  <c r="E100" i="44"/>
  <c r="F100" i="44" s="1"/>
  <c r="E33" i="2"/>
  <c r="F53" i="2"/>
  <c r="O17" i="2"/>
  <c r="R133" i="2" s="1"/>
  <c r="G100" i="13"/>
  <c r="H100" i="13" s="1"/>
  <c r="E37" i="2"/>
  <c r="F54" i="2" s="1"/>
  <c r="O88" i="43"/>
  <c r="O89" i="43" s="1"/>
  <c r="E19" i="44"/>
  <c r="F19" i="44" s="1"/>
  <c r="H19" i="44" s="1"/>
  <c r="D19" i="45"/>
  <c r="B19" i="45" s="1"/>
  <c r="G18" i="45"/>
  <c r="G99" i="45"/>
  <c r="D100" i="45"/>
  <c r="B18" i="13"/>
  <c r="E18" i="13"/>
  <c r="F18" i="13" s="1"/>
  <c r="D19" i="13" s="1"/>
  <c r="M88" i="38"/>
  <c r="M89" i="38" s="1"/>
  <c r="N88" i="38"/>
  <c r="N89" i="38" s="1"/>
  <c r="B23" i="27"/>
  <c r="F23" i="27"/>
  <c r="N5" i="44"/>
  <c r="D99" i="7"/>
  <c r="J99" i="41"/>
  <c r="O88" i="41"/>
  <c r="O89" i="41" s="1"/>
  <c r="O87" i="46"/>
  <c r="O87" i="45"/>
  <c r="N29" i="2"/>
  <c r="F20" i="37"/>
  <c r="H20" i="37" s="1"/>
  <c r="B20" i="37"/>
  <c r="F26" i="25"/>
  <c r="F30" i="7"/>
  <c r="F27" i="3"/>
  <c r="I17" i="46"/>
  <c r="F24" i="24"/>
  <c r="F28" i="6"/>
  <c r="F18" i="40"/>
  <c r="F28" i="8"/>
  <c r="F29" i="11"/>
  <c r="F22" i="28"/>
  <c r="F25" i="23"/>
  <c r="I19" i="37"/>
  <c r="N6" i="37"/>
  <c r="F18" i="42"/>
  <c r="H18" i="45"/>
  <c r="I18" i="45" s="1"/>
  <c r="H17" i="45"/>
  <c r="D30" i="9"/>
  <c r="G29" i="9"/>
  <c r="E30" i="9"/>
  <c r="H29" i="9"/>
  <c r="F18" i="41"/>
  <c r="I100" i="13"/>
  <c r="J100" i="13" s="1"/>
  <c r="D100" i="46"/>
  <c r="B100" i="46" s="1"/>
  <c r="G99" i="46"/>
  <c r="F21" i="30"/>
  <c r="F19" i="38"/>
  <c r="N5" i="37"/>
  <c r="F27" i="5"/>
  <c r="F26" i="22"/>
  <c r="N5" i="10"/>
  <c r="F19" i="39"/>
  <c r="F27" i="4"/>
  <c r="F31" i="10"/>
  <c r="B31" i="10"/>
  <c r="I30" i="10"/>
  <c r="N6" i="10"/>
  <c r="E30" i="1"/>
  <c r="E33" i="1" s="1"/>
  <c r="F54" i="1" s="1"/>
  <c r="F53" i="1"/>
  <c r="F22" i="31"/>
  <c r="H17" i="44"/>
  <c r="H18" i="44"/>
  <c r="I18" i="44" s="1"/>
  <c r="F22" i="29"/>
  <c r="D19" i="46"/>
  <c r="E19" i="46" s="1"/>
  <c r="G18" i="46"/>
  <c r="H18" i="46"/>
  <c r="P17" i="2"/>
  <c r="J99" i="43"/>
  <c r="J99" i="13"/>
  <c r="G101" i="13"/>
  <c r="D102" i="13"/>
  <c r="J99" i="42"/>
  <c r="N88" i="42"/>
  <c r="M88" i="42"/>
  <c r="M89" i="42" s="1"/>
  <c r="D101" i="44"/>
  <c r="E101" i="44" s="1"/>
  <c r="G100" i="44"/>
  <c r="I41" i="17"/>
  <c r="I37" i="17"/>
  <c r="F55" i="2" l="1"/>
  <c r="F62" i="2" s="1"/>
  <c r="F65" i="2" s="1"/>
  <c r="F67" i="2" s="1"/>
  <c r="F69" i="2" s="1"/>
  <c r="G18" i="13"/>
  <c r="N5" i="13" s="1"/>
  <c r="D20" i="44"/>
  <c r="G19" i="44"/>
  <c r="I19" i="44" s="1"/>
  <c r="E19" i="45"/>
  <c r="F19" i="45"/>
  <c r="D20" i="45" s="1"/>
  <c r="E20" i="45" s="1"/>
  <c r="H99" i="45"/>
  <c r="I99" i="45"/>
  <c r="H18" i="13"/>
  <c r="I18" i="13" s="1"/>
  <c r="I18" i="46"/>
  <c r="E19" i="13"/>
  <c r="F19" i="13" s="1"/>
  <c r="B19" i="13"/>
  <c r="E100" i="45"/>
  <c r="F100" i="45" s="1"/>
  <c r="B100" i="45"/>
  <c r="O88" i="38"/>
  <c r="O89" i="38" s="1"/>
  <c r="D24" i="27"/>
  <c r="G23" i="27"/>
  <c r="N5" i="27" s="1"/>
  <c r="H23" i="27"/>
  <c r="E24" i="27"/>
  <c r="N6" i="44"/>
  <c r="N7" i="44" s="1"/>
  <c r="N7" i="10"/>
  <c r="D22" i="30"/>
  <c r="G21" i="30"/>
  <c r="H21" i="30"/>
  <c r="E22" i="30"/>
  <c r="D23" i="31"/>
  <c r="H22" i="31"/>
  <c r="G22" i="31"/>
  <c r="E23" i="31"/>
  <c r="H26" i="22"/>
  <c r="D27" i="22"/>
  <c r="G26" i="22"/>
  <c r="E27" i="22"/>
  <c r="H19" i="38"/>
  <c r="D20" i="38"/>
  <c r="G19" i="38"/>
  <c r="E20" i="38"/>
  <c r="F30" i="9"/>
  <c r="B30" i="9"/>
  <c r="D23" i="28"/>
  <c r="G22" i="28"/>
  <c r="H22" i="28"/>
  <c r="E23" i="28"/>
  <c r="G31" i="10"/>
  <c r="E32" i="10"/>
  <c r="H31" i="10"/>
  <c r="D32" i="10"/>
  <c r="N5" i="9"/>
  <c r="G18" i="42"/>
  <c r="D19" i="42"/>
  <c r="H18" i="42"/>
  <c r="E19" i="42"/>
  <c r="H18" i="40"/>
  <c r="D19" i="40"/>
  <c r="G18" i="40"/>
  <c r="E19" i="40"/>
  <c r="D28" i="3"/>
  <c r="G27" i="3"/>
  <c r="H27" i="3"/>
  <c r="E28" i="3"/>
  <c r="N6" i="13"/>
  <c r="N7" i="13" s="1"/>
  <c r="E100" i="46"/>
  <c r="F100" i="46" s="1"/>
  <c r="D23" i="29"/>
  <c r="G22" i="29"/>
  <c r="H22" i="29"/>
  <c r="E23" i="29"/>
  <c r="G19" i="39"/>
  <c r="D20" i="39"/>
  <c r="H19" i="39"/>
  <c r="E20" i="39"/>
  <c r="B19" i="46"/>
  <c r="F19" i="46"/>
  <c r="G19" i="46" s="1"/>
  <c r="F55" i="1"/>
  <c r="H27" i="5"/>
  <c r="D28" i="5"/>
  <c r="G27" i="5"/>
  <c r="E28" i="5"/>
  <c r="I29" i="9"/>
  <c r="N6" i="9"/>
  <c r="I17" i="45"/>
  <c r="N7" i="37"/>
  <c r="D30" i="11"/>
  <c r="G29" i="11"/>
  <c r="H29" i="11"/>
  <c r="E30" i="11"/>
  <c r="D29" i="8"/>
  <c r="G28" i="8"/>
  <c r="H28" i="8"/>
  <c r="E29" i="8"/>
  <c r="H28" i="6"/>
  <c r="D29" i="6"/>
  <c r="G28" i="6"/>
  <c r="E29" i="6"/>
  <c r="G30" i="7"/>
  <c r="D31" i="7"/>
  <c r="H30" i="7"/>
  <c r="E31" i="7"/>
  <c r="E21" i="37"/>
  <c r="D21" i="37"/>
  <c r="D18" i="43"/>
  <c r="E18" i="43"/>
  <c r="H19" i="45"/>
  <c r="I17" i="44"/>
  <c r="D28" i="4"/>
  <c r="H27" i="4"/>
  <c r="G27" i="4"/>
  <c r="E28" i="4"/>
  <c r="I99" i="46"/>
  <c r="H99" i="46"/>
  <c r="H18" i="41"/>
  <c r="D19" i="41"/>
  <c r="G18" i="41"/>
  <c r="E19" i="41"/>
  <c r="G25" i="23"/>
  <c r="D26" i="23"/>
  <c r="H25" i="23"/>
  <c r="E26" i="23"/>
  <c r="G24" i="24"/>
  <c r="D25" i="24"/>
  <c r="H24" i="24"/>
  <c r="E25" i="24"/>
  <c r="D27" i="25"/>
  <c r="G26" i="25"/>
  <c r="H26" i="25"/>
  <c r="E27" i="25"/>
  <c r="G20" i="37"/>
  <c r="I20" i="37" s="1"/>
  <c r="F70" i="2"/>
  <c r="F71" i="2" s="1"/>
  <c r="F56" i="2" s="1"/>
  <c r="F57" i="2" s="1"/>
  <c r="B102" i="13"/>
  <c r="H101" i="13"/>
  <c r="I101" i="13"/>
  <c r="I100" i="44"/>
  <c r="H100" i="44"/>
  <c r="N89" i="42"/>
  <c r="O88" i="42"/>
  <c r="O89" i="42" s="1"/>
  <c r="E102" i="13"/>
  <c r="F101" i="44"/>
  <c r="B101" i="44"/>
  <c r="F36" i="17"/>
  <c r="F25" i="17"/>
  <c r="E20" i="44" l="1"/>
  <c r="B20" i="44"/>
  <c r="F20" i="44"/>
  <c r="G19" i="45"/>
  <c r="G100" i="45"/>
  <c r="D101" i="45"/>
  <c r="B101" i="45" s="1"/>
  <c r="G19" i="13"/>
  <c r="D20" i="13"/>
  <c r="H19" i="13"/>
  <c r="J99" i="45"/>
  <c r="I23" i="27"/>
  <c r="N6" i="27"/>
  <c r="N7" i="27" s="1"/>
  <c r="B24" i="27"/>
  <c r="F24" i="27"/>
  <c r="G25" i="17"/>
  <c r="J99" i="46"/>
  <c r="G36" i="17"/>
  <c r="N5" i="46"/>
  <c r="N5" i="41"/>
  <c r="N5" i="7"/>
  <c r="F28" i="5"/>
  <c r="B28" i="5"/>
  <c r="I19" i="38"/>
  <c r="N6" i="38"/>
  <c r="B23" i="31"/>
  <c r="F23" i="31"/>
  <c r="I26" i="25"/>
  <c r="N6" i="25"/>
  <c r="I24" i="24"/>
  <c r="N6" i="24"/>
  <c r="F19" i="41"/>
  <c r="H19" i="41" s="1"/>
  <c r="B19" i="41"/>
  <c r="B20" i="45"/>
  <c r="F20" i="45"/>
  <c r="H20" i="45" s="1"/>
  <c r="N5" i="43"/>
  <c r="N6" i="6"/>
  <c r="I28" i="6"/>
  <c r="N6" i="8"/>
  <c r="I28" i="8"/>
  <c r="I29" i="11"/>
  <c r="N6" i="11"/>
  <c r="I27" i="5"/>
  <c r="N6" i="5"/>
  <c r="I19" i="39"/>
  <c r="N6" i="39"/>
  <c r="I22" i="29"/>
  <c r="N6" i="29"/>
  <c r="I27" i="3"/>
  <c r="N6" i="3"/>
  <c r="N5" i="40"/>
  <c r="I18" i="42"/>
  <c r="N6" i="42"/>
  <c r="B23" i="28"/>
  <c r="F23" i="28"/>
  <c r="F22" i="30"/>
  <c r="B22" i="30"/>
  <c r="N5" i="23"/>
  <c r="D20" i="46"/>
  <c r="E20" i="46" s="1"/>
  <c r="D101" i="46"/>
  <c r="B101" i="46" s="1"/>
  <c r="G100" i="46"/>
  <c r="N5" i="28"/>
  <c r="I26" i="22"/>
  <c r="N6" i="22"/>
  <c r="N5" i="30"/>
  <c r="N5" i="25"/>
  <c r="F25" i="24"/>
  <c r="B25" i="24"/>
  <c r="I25" i="23"/>
  <c r="N6" i="23"/>
  <c r="N6" i="41"/>
  <c r="N7" i="41" s="1"/>
  <c r="I18" i="41"/>
  <c r="N5" i="4"/>
  <c r="N5" i="45"/>
  <c r="N6" i="43"/>
  <c r="I17" i="43"/>
  <c r="I30" i="7"/>
  <c r="N6" i="7"/>
  <c r="N5" i="8"/>
  <c r="N5" i="11"/>
  <c r="H19" i="46"/>
  <c r="B20" i="39"/>
  <c r="F20" i="39"/>
  <c r="G20" i="39" s="1"/>
  <c r="N5" i="29"/>
  <c r="N5" i="3"/>
  <c r="F19" i="40"/>
  <c r="H19" i="40" s="1"/>
  <c r="B19" i="40"/>
  <c r="B19" i="42"/>
  <c r="F19" i="42"/>
  <c r="G19" i="42" s="1"/>
  <c r="B32" i="10"/>
  <c r="F32" i="10"/>
  <c r="N5" i="38"/>
  <c r="N5" i="22"/>
  <c r="N5" i="31"/>
  <c r="B28" i="4"/>
  <c r="F28" i="4"/>
  <c r="F18" i="43"/>
  <c r="G18" i="43" s="1"/>
  <c r="B18" i="43"/>
  <c r="F29" i="6"/>
  <c r="B29" i="6"/>
  <c r="B27" i="25"/>
  <c r="F27" i="25"/>
  <c r="N5" i="24"/>
  <c r="B26" i="23"/>
  <c r="F26" i="23"/>
  <c r="I27" i="4"/>
  <c r="N6" i="4"/>
  <c r="I19" i="45"/>
  <c r="N6" i="45"/>
  <c r="N7" i="45" s="1"/>
  <c r="B21" i="37"/>
  <c r="F21" i="37"/>
  <c r="H21" i="37" s="1"/>
  <c r="B31" i="7"/>
  <c r="F31" i="7"/>
  <c r="N5" i="6"/>
  <c r="F29" i="8"/>
  <c r="B29" i="8"/>
  <c r="B30" i="11"/>
  <c r="F30" i="11"/>
  <c r="N7" i="9"/>
  <c r="N5" i="5"/>
  <c r="F62" i="1"/>
  <c r="F65" i="1" s="1"/>
  <c r="F67" i="1" s="1"/>
  <c r="F69" i="1" s="1"/>
  <c r="F76" i="1"/>
  <c r="F77" i="1" s="1"/>
  <c r="N5" i="39"/>
  <c r="F23" i="29"/>
  <c r="B23" i="29"/>
  <c r="F28" i="3"/>
  <c r="B28" i="3"/>
  <c r="I18" i="40"/>
  <c r="N6" i="40"/>
  <c r="N5" i="42"/>
  <c r="I31" i="10"/>
  <c r="I22" i="28"/>
  <c r="N6" i="28"/>
  <c r="G30" i="9"/>
  <c r="D31" i="9"/>
  <c r="H30" i="9"/>
  <c r="E31" i="9"/>
  <c r="F20" i="38"/>
  <c r="H20" i="38" s="1"/>
  <c r="B20" i="38"/>
  <c r="F27" i="22"/>
  <c r="B27" i="22"/>
  <c r="I22" i="31"/>
  <c r="N6" i="31"/>
  <c r="N6" i="30"/>
  <c r="I21" i="30"/>
  <c r="F59" i="2"/>
  <c r="F79" i="2" s="1"/>
  <c r="F80" i="2" s="1"/>
  <c r="F82" i="2" s="1"/>
  <c r="F76" i="2"/>
  <c r="F77" i="2" s="1"/>
  <c r="J101" i="13"/>
  <c r="J100" i="44"/>
  <c r="D102" i="44"/>
  <c r="G101" i="44"/>
  <c r="F102" i="13"/>
  <c r="F40" i="17"/>
  <c r="F24" i="17"/>
  <c r="F31" i="17"/>
  <c r="E101" i="45" l="1"/>
  <c r="F101" i="45" s="1"/>
  <c r="G101" i="45" s="1"/>
  <c r="H20" i="44"/>
  <c r="G20" i="44"/>
  <c r="D21" i="44"/>
  <c r="G20" i="45"/>
  <c r="I19" i="13"/>
  <c r="E20" i="13"/>
  <c r="B20" i="13"/>
  <c r="F20" i="13"/>
  <c r="H100" i="45"/>
  <c r="I100" i="45"/>
  <c r="G31" i="17"/>
  <c r="H18" i="43"/>
  <c r="I18" i="43" s="1"/>
  <c r="G20" i="38"/>
  <c r="I20" i="38" s="1"/>
  <c r="H20" i="39"/>
  <c r="I20" i="39" s="1"/>
  <c r="H24" i="27"/>
  <c r="E25" i="27"/>
  <c r="D25" i="27"/>
  <c r="G24" i="27"/>
  <c r="N7" i="23"/>
  <c r="N7" i="4"/>
  <c r="N7" i="31"/>
  <c r="N7" i="40"/>
  <c r="N7" i="30"/>
  <c r="N7" i="7"/>
  <c r="N7" i="29"/>
  <c r="N7" i="25"/>
  <c r="G24" i="17"/>
  <c r="G40" i="17"/>
  <c r="H100" i="46"/>
  <c r="I100" i="46"/>
  <c r="H27" i="22"/>
  <c r="G27" i="22"/>
  <c r="D28" i="22"/>
  <c r="E28" i="22"/>
  <c r="D21" i="38"/>
  <c r="E21" i="38"/>
  <c r="H28" i="3"/>
  <c r="D29" i="3"/>
  <c r="G28" i="3"/>
  <c r="E29" i="3"/>
  <c r="F70" i="1"/>
  <c r="F71" i="1" s="1"/>
  <c r="F56" i="1" s="1"/>
  <c r="F57" i="1" s="1"/>
  <c r="F59" i="1" s="1"/>
  <c r="F79" i="1" s="1"/>
  <c r="F80" i="1" s="1"/>
  <c r="F82" i="1" s="1"/>
  <c r="G29" i="8"/>
  <c r="D30" i="8"/>
  <c r="H29" i="8"/>
  <c r="E30" i="8"/>
  <c r="D32" i="7"/>
  <c r="G31" i="7"/>
  <c r="H31" i="7"/>
  <c r="E32" i="7"/>
  <c r="D29" i="4"/>
  <c r="H28" i="4"/>
  <c r="G28" i="4"/>
  <c r="E29" i="4"/>
  <c r="D20" i="42"/>
  <c r="E20" i="42"/>
  <c r="I19" i="46"/>
  <c r="N6" i="46"/>
  <c r="N7" i="46" s="1"/>
  <c r="G22" i="30"/>
  <c r="D23" i="30"/>
  <c r="H22" i="30"/>
  <c r="E23" i="30"/>
  <c r="D24" i="28"/>
  <c r="G23" i="28"/>
  <c r="H23" i="28"/>
  <c r="E24" i="28"/>
  <c r="N7" i="3"/>
  <c r="N19" i="1"/>
  <c r="N7" i="24"/>
  <c r="N7" i="38"/>
  <c r="D24" i="29"/>
  <c r="H23" i="29"/>
  <c r="G23" i="29"/>
  <c r="E24" i="29"/>
  <c r="H29" i="6"/>
  <c r="G29" i="6"/>
  <c r="D30" i="6"/>
  <c r="E30" i="6"/>
  <c r="D20" i="40"/>
  <c r="E20" i="40"/>
  <c r="D20" i="41"/>
  <c r="E20" i="41"/>
  <c r="D31" i="11"/>
  <c r="G30" i="11"/>
  <c r="H30" i="11"/>
  <c r="E31" i="11"/>
  <c r="G26" i="23"/>
  <c r="D27" i="23"/>
  <c r="H26" i="23"/>
  <c r="E27" i="23"/>
  <c r="D28" i="25"/>
  <c r="G27" i="25"/>
  <c r="H27" i="25"/>
  <c r="E28" i="25"/>
  <c r="M19" i="1"/>
  <c r="D21" i="39"/>
  <c r="E21" i="39"/>
  <c r="N7" i="22"/>
  <c r="N7" i="5"/>
  <c r="N7" i="11"/>
  <c r="N7" i="8"/>
  <c r="N7" i="6"/>
  <c r="I20" i="45"/>
  <c r="G19" i="41"/>
  <c r="D24" i="31"/>
  <c r="G23" i="31"/>
  <c r="H23" i="31"/>
  <c r="E24" i="31"/>
  <c r="B31" i="9"/>
  <c r="F31" i="9"/>
  <c r="E22" i="37"/>
  <c r="D22" i="37"/>
  <c r="H25" i="24"/>
  <c r="D26" i="24"/>
  <c r="G25" i="24"/>
  <c r="E26" i="24"/>
  <c r="N7" i="42"/>
  <c r="N7" i="28"/>
  <c r="I30" i="9"/>
  <c r="G21" i="37"/>
  <c r="D19" i="43"/>
  <c r="E19" i="43"/>
  <c r="E33" i="10"/>
  <c r="D33" i="10"/>
  <c r="G32" i="10"/>
  <c r="H32" i="10"/>
  <c r="H19" i="42"/>
  <c r="G19" i="40"/>
  <c r="N7" i="43"/>
  <c r="E101" i="46"/>
  <c r="F101" i="46" s="1"/>
  <c r="F20" i="46"/>
  <c r="H20" i="46" s="1"/>
  <c r="B20" i="46"/>
  <c r="N7" i="39"/>
  <c r="D21" i="45"/>
  <c r="E21" i="45" s="1"/>
  <c r="H28" i="5"/>
  <c r="G28" i="5"/>
  <c r="D29" i="5"/>
  <c r="E29" i="5"/>
  <c r="G102" i="13"/>
  <c r="D103" i="13"/>
  <c r="I101" i="44"/>
  <c r="H101" i="44"/>
  <c r="B102" i="44"/>
  <c r="E102" i="44"/>
  <c r="F20" i="17"/>
  <c r="F38" i="17"/>
  <c r="F42" i="17"/>
  <c r="F34" i="17"/>
  <c r="F27" i="17"/>
  <c r="F23" i="17"/>
  <c r="F41" i="17"/>
  <c r="F29" i="17"/>
  <c r="F32" i="17"/>
  <c r="F22" i="17"/>
  <c r="F21" i="17"/>
  <c r="F26" i="17"/>
  <c r="F33" i="17"/>
  <c r="F39" i="17"/>
  <c r="F35" i="17"/>
  <c r="F30" i="17"/>
  <c r="F19" i="17"/>
  <c r="F28" i="17"/>
  <c r="F18" i="17"/>
  <c r="F37" i="17"/>
  <c r="D102" i="45" l="1"/>
  <c r="B102" i="45" s="1"/>
  <c r="I20" i="44"/>
  <c r="E21" i="44"/>
  <c r="B21" i="44"/>
  <c r="F21" i="44"/>
  <c r="J100" i="45"/>
  <c r="G20" i="46"/>
  <c r="E102" i="45"/>
  <c r="F102" i="45" s="1"/>
  <c r="I101" i="45"/>
  <c r="H101" i="45"/>
  <c r="D21" i="13"/>
  <c r="H20" i="13"/>
  <c r="G20" i="13"/>
  <c r="F25" i="27"/>
  <c r="B25" i="27"/>
  <c r="I24" i="27"/>
  <c r="G28" i="17"/>
  <c r="G34" i="17"/>
  <c r="G39" i="17"/>
  <c r="G35" i="17"/>
  <c r="G22" i="17"/>
  <c r="G19" i="17"/>
  <c r="G30" i="17"/>
  <c r="G33" i="17"/>
  <c r="J100" i="46"/>
  <c r="G41" i="17"/>
  <c r="G23" i="17"/>
  <c r="G29" i="17"/>
  <c r="G21" i="17"/>
  <c r="G38" i="17"/>
  <c r="G26" i="17"/>
  <c r="G27" i="17"/>
  <c r="G18" i="17"/>
  <c r="F44" i="17"/>
  <c r="G32" i="17"/>
  <c r="G20" i="17"/>
  <c r="G37" i="17"/>
  <c r="I20" i="46"/>
  <c r="B20" i="41"/>
  <c r="F20" i="41"/>
  <c r="G20" i="41" s="1"/>
  <c r="F24" i="29"/>
  <c r="B24" i="29"/>
  <c r="I31" i="7"/>
  <c r="I29" i="8"/>
  <c r="F29" i="5"/>
  <c r="B29" i="5"/>
  <c r="F21" i="45"/>
  <c r="G21" i="45" s="1"/>
  <c r="B21" i="45"/>
  <c r="B33" i="10"/>
  <c r="F33" i="10"/>
  <c r="B26" i="24"/>
  <c r="F26" i="24"/>
  <c r="I27" i="25"/>
  <c r="I26" i="23"/>
  <c r="I30" i="11"/>
  <c r="B30" i="6"/>
  <c r="F30" i="6"/>
  <c r="N20" i="1"/>
  <c r="O19" i="1"/>
  <c r="R133" i="1"/>
  <c r="I23" i="28"/>
  <c r="I22" i="30"/>
  <c r="I28" i="4"/>
  <c r="B30" i="8"/>
  <c r="F30" i="8"/>
  <c r="F28" i="22"/>
  <c r="B28" i="22"/>
  <c r="I19" i="41"/>
  <c r="G101" i="46"/>
  <c r="D102" i="46"/>
  <c r="B19" i="43"/>
  <c r="F19" i="43"/>
  <c r="H19" i="43" s="1"/>
  <c r="I23" i="31"/>
  <c r="I28" i="3"/>
  <c r="I19" i="42"/>
  <c r="I25" i="24"/>
  <c r="H31" i="9"/>
  <c r="D32" i="9"/>
  <c r="G31" i="9"/>
  <c r="E32" i="9"/>
  <c r="B24" i="31"/>
  <c r="F24" i="31"/>
  <c r="B21" i="39"/>
  <c r="F21" i="39"/>
  <c r="B27" i="23"/>
  <c r="F27" i="23"/>
  <c r="F23" i="30"/>
  <c r="B23" i="30"/>
  <c r="F20" i="42"/>
  <c r="G20" i="42" s="1"/>
  <c r="B20" i="42"/>
  <c r="F29" i="4"/>
  <c r="B29" i="4"/>
  <c r="B32" i="7"/>
  <c r="F32" i="7"/>
  <c r="F22" i="37"/>
  <c r="H22" i="37" s="1"/>
  <c r="B22" i="37"/>
  <c r="I28" i="5"/>
  <c r="D21" i="46"/>
  <c r="E21" i="46" s="1"/>
  <c r="I32" i="10"/>
  <c r="M20" i="1"/>
  <c r="R132" i="1"/>
  <c r="B28" i="25"/>
  <c r="F28" i="25"/>
  <c r="F31" i="11"/>
  <c r="B31" i="11"/>
  <c r="B20" i="40"/>
  <c r="H20" i="40"/>
  <c r="F20" i="40"/>
  <c r="G20" i="40" s="1"/>
  <c r="I29" i="6"/>
  <c r="I23" i="29"/>
  <c r="F24" i="28"/>
  <c r="B24" i="28"/>
  <c r="F29" i="3"/>
  <c r="B29" i="3"/>
  <c r="B21" i="38"/>
  <c r="F21" i="38"/>
  <c r="H21" i="38" s="1"/>
  <c r="I27" i="22"/>
  <c r="I19" i="40"/>
  <c r="I21" i="37"/>
  <c r="B103" i="13"/>
  <c r="J101" i="44"/>
  <c r="E103" i="13"/>
  <c r="F103" i="13" s="1"/>
  <c r="I102" i="13"/>
  <c r="H102" i="13"/>
  <c r="F102" i="44"/>
  <c r="H21" i="44" l="1"/>
  <c r="D22" i="44"/>
  <c r="G21" i="44"/>
  <c r="J101" i="45"/>
  <c r="I20" i="13"/>
  <c r="D103" i="45"/>
  <c r="G102" i="45"/>
  <c r="E21" i="13"/>
  <c r="F21" i="13" s="1"/>
  <c r="G21" i="13" s="1"/>
  <c r="B21" i="13"/>
  <c r="H20" i="42"/>
  <c r="I20" i="42" s="1"/>
  <c r="H20" i="41"/>
  <c r="G25" i="27"/>
  <c r="H25" i="27"/>
  <c r="E26" i="27"/>
  <c r="D26" i="27"/>
  <c r="G44" i="17"/>
  <c r="R134" i="1"/>
  <c r="O20" i="1"/>
  <c r="D22" i="38"/>
  <c r="E22" i="38"/>
  <c r="D32" i="11"/>
  <c r="G31" i="11"/>
  <c r="H31" i="11"/>
  <c r="E32" i="11"/>
  <c r="D22" i="39"/>
  <c r="E22" i="39"/>
  <c r="H30" i="8"/>
  <c r="G30" i="8"/>
  <c r="D31" i="8"/>
  <c r="E31" i="8"/>
  <c r="D25" i="29"/>
  <c r="G24" i="29"/>
  <c r="H24" i="29"/>
  <c r="E25" i="29"/>
  <c r="I20" i="40"/>
  <c r="I20" i="41"/>
  <c r="D30" i="3"/>
  <c r="G29" i="3"/>
  <c r="H29" i="3"/>
  <c r="E30" i="3"/>
  <c r="G24" i="28"/>
  <c r="D25" i="28"/>
  <c r="H24" i="28"/>
  <c r="E25" i="28"/>
  <c r="F21" i="46"/>
  <c r="H21" i="46" s="1"/>
  <c r="B21" i="46"/>
  <c r="G29" i="4"/>
  <c r="H29" i="4"/>
  <c r="D30" i="4"/>
  <c r="E30" i="4"/>
  <c r="D21" i="42"/>
  <c r="E21" i="42"/>
  <c r="D28" i="23"/>
  <c r="G27" i="23"/>
  <c r="H27" i="23"/>
  <c r="E28" i="23"/>
  <c r="H21" i="39"/>
  <c r="H24" i="31"/>
  <c r="D25" i="31"/>
  <c r="G24" i="31"/>
  <c r="E25" i="31"/>
  <c r="B32" i="9"/>
  <c r="F32" i="9"/>
  <c r="D20" i="43"/>
  <c r="E20" i="43"/>
  <c r="E102" i="46"/>
  <c r="F102" i="46" s="1"/>
  <c r="B102" i="46"/>
  <c r="H26" i="24"/>
  <c r="D27" i="24"/>
  <c r="G26" i="24"/>
  <c r="E27" i="24"/>
  <c r="H33" i="10"/>
  <c r="D34" i="10"/>
  <c r="E34" i="10"/>
  <c r="G33" i="10"/>
  <c r="D21" i="41"/>
  <c r="E21" i="41"/>
  <c r="E23" i="37"/>
  <c r="D23" i="37"/>
  <c r="H23" i="30"/>
  <c r="D24" i="30"/>
  <c r="G23" i="30"/>
  <c r="E24" i="30"/>
  <c r="D22" i="45"/>
  <c r="E22" i="45" s="1"/>
  <c r="G21" i="38"/>
  <c r="D21" i="40"/>
  <c r="E21" i="40"/>
  <c r="G28" i="25"/>
  <c r="D29" i="25"/>
  <c r="H28" i="25"/>
  <c r="E29" i="25"/>
  <c r="G22" i="37"/>
  <c r="I22" i="37" s="1"/>
  <c r="G32" i="7"/>
  <c r="D33" i="7"/>
  <c r="H32" i="7"/>
  <c r="E33" i="7"/>
  <c r="G21" i="39"/>
  <c r="I31" i="9"/>
  <c r="G19" i="43"/>
  <c r="H101" i="46"/>
  <c r="I101" i="46"/>
  <c r="H28" i="22"/>
  <c r="D29" i="22"/>
  <c r="G28" i="22"/>
  <c r="E29" i="22"/>
  <c r="H30" i="6"/>
  <c r="D31" i="6"/>
  <c r="G30" i="6"/>
  <c r="E31" i="6"/>
  <c r="H21" i="45"/>
  <c r="G29" i="5"/>
  <c r="D30" i="5"/>
  <c r="H29" i="5"/>
  <c r="E30" i="5"/>
  <c r="F45" i="17"/>
  <c r="G103" i="13"/>
  <c r="D104" i="13"/>
  <c r="E104" i="13" s="1"/>
  <c r="J102" i="13"/>
  <c r="N88" i="13"/>
  <c r="M88" i="13"/>
  <c r="M89" i="13" s="1"/>
  <c r="D103" i="44"/>
  <c r="G102" i="44"/>
  <c r="E22" i="44" l="1"/>
  <c r="F22" i="44"/>
  <c r="B22" i="44"/>
  <c r="I21" i="44"/>
  <c r="I102" i="45"/>
  <c r="H102" i="45"/>
  <c r="M88" i="45" s="1"/>
  <c r="M89" i="45" s="1"/>
  <c r="H21" i="13"/>
  <c r="I21" i="13" s="1"/>
  <c r="D22" i="13"/>
  <c r="E103" i="45"/>
  <c r="F103" i="45" s="1"/>
  <c r="B103" i="45"/>
  <c r="I25" i="27"/>
  <c r="F26" i="27"/>
  <c r="B26" i="27"/>
  <c r="J101" i="46"/>
  <c r="B31" i="6"/>
  <c r="F31" i="6"/>
  <c r="B25" i="31"/>
  <c r="F25" i="31"/>
  <c r="F25" i="28"/>
  <c r="B25" i="28"/>
  <c r="I21" i="45"/>
  <c r="I30" i="6"/>
  <c r="I28" i="22"/>
  <c r="I24" i="31"/>
  <c r="I29" i="4"/>
  <c r="B30" i="3"/>
  <c r="F30" i="3"/>
  <c r="I30" i="8"/>
  <c r="F22" i="39"/>
  <c r="H22" i="39" s="1"/>
  <c r="B22" i="39"/>
  <c r="F23" i="37"/>
  <c r="H23" i="37" s="1"/>
  <c r="B23" i="37"/>
  <c r="D103" i="46"/>
  <c r="G102" i="46"/>
  <c r="H32" i="9"/>
  <c r="D33" i="9"/>
  <c r="G32" i="9"/>
  <c r="E33" i="9"/>
  <c r="B30" i="4"/>
  <c r="F30" i="4"/>
  <c r="I28" i="25"/>
  <c r="B21" i="40"/>
  <c r="F21" i="40"/>
  <c r="G21" i="40" s="1"/>
  <c r="B22" i="45"/>
  <c r="F22" i="45"/>
  <c r="H22" i="45" s="1"/>
  <c r="B24" i="30"/>
  <c r="F24" i="30"/>
  <c r="F21" i="41"/>
  <c r="H21" i="41" s="1"/>
  <c r="B21" i="41"/>
  <c r="F34" i="10"/>
  <c r="B34" i="10"/>
  <c r="F27" i="24"/>
  <c r="B27" i="24"/>
  <c r="I21" i="39"/>
  <c r="B28" i="23"/>
  <c r="F28" i="23"/>
  <c r="B21" i="42"/>
  <c r="F21" i="42"/>
  <c r="H21" i="42" s="1"/>
  <c r="I24" i="29"/>
  <c r="I31" i="11"/>
  <c r="B22" i="38"/>
  <c r="F22" i="38"/>
  <c r="G22" i="38" s="1"/>
  <c r="F29" i="22"/>
  <c r="B29" i="22"/>
  <c r="F33" i="7"/>
  <c r="B33" i="7"/>
  <c r="I21" i="38"/>
  <c r="I27" i="23"/>
  <c r="D22" i="46"/>
  <c r="F25" i="29"/>
  <c r="B25" i="29"/>
  <c r="I19" i="43"/>
  <c r="B32" i="11"/>
  <c r="F32" i="11"/>
  <c r="I29" i="5"/>
  <c r="B30" i="5"/>
  <c r="F30" i="5"/>
  <c r="I32" i="7"/>
  <c r="F29" i="25"/>
  <c r="B29" i="25"/>
  <c r="I23" i="30"/>
  <c r="I33" i="10"/>
  <c r="I26" i="24"/>
  <c r="B20" i="43"/>
  <c r="F20" i="43"/>
  <c r="H20" i="43" s="1"/>
  <c r="G21" i="46"/>
  <c r="I21" i="46" s="1"/>
  <c r="I24" i="28"/>
  <c r="I29" i="3"/>
  <c r="F31" i="8"/>
  <c r="B31" i="8"/>
  <c r="B103" i="44"/>
  <c r="I103" i="13"/>
  <c r="H103" i="13"/>
  <c r="E103" i="44"/>
  <c r="F103" i="44" s="1"/>
  <c r="O88" i="13"/>
  <c r="O89" i="13" s="1"/>
  <c r="N89" i="13"/>
  <c r="I102" i="44"/>
  <c r="H102" i="44"/>
  <c r="M88" i="44" s="1"/>
  <c r="F104" i="13"/>
  <c r="B104" i="13"/>
  <c r="G22" i="44" l="1"/>
  <c r="D23" i="44"/>
  <c r="H22" i="44"/>
  <c r="I22" i="44" s="1"/>
  <c r="D104" i="45"/>
  <c r="G103" i="45"/>
  <c r="B22" i="13"/>
  <c r="E22" i="13"/>
  <c r="F22" i="13" s="1"/>
  <c r="N88" i="45"/>
  <c r="J102" i="45"/>
  <c r="G22" i="39"/>
  <c r="I22" i="39" s="1"/>
  <c r="G21" i="41"/>
  <c r="H22" i="38"/>
  <c r="I22" i="38" s="1"/>
  <c r="G20" i="43"/>
  <c r="G21" i="42"/>
  <c r="I21" i="42" s="1"/>
  <c r="H21" i="40"/>
  <c r="I21" i="40" s="1"/>
  <c r="D27" i="27"/>
  <c r="E27" i="27"/>
  <c r="G26" i="27"/>
  <c r="H26" i="27"/>
  <c r="D26" i="29"/>
  <c r="H25" i="29"/>
  <c r="G25" i="29"/>
  <c r="E26" i="29"/>
  <c r="D30" i="22"/>
  <c r="G29" i="22"/>
  <c r="H29" i="22"/>
  <c r="E30" i="22"/>
  <c r="F33" i="9"/>
  <c r="B33" i="9"/>
  <c r="G25" i="28"/>
  <c r="D26" i="28"/>
  <c r="H25" i="28"/>
  <c r="E26" i="28"/>
  <c r="I20" i="43"/>
  <c r="I21" i="41"/>
  <c r="G22" i="45"/>
  <c r="I22" i="45" s="1"/>
  <c r="I32" i="9"/>
  <c r="D24" i="37"/>
  <c r="E24" i="37"/>
  <c r="D23" i="39"/>
  <c r="E23" i="39"/>
  <c r="D26" i="31"/>
  <c r="G25" i="31"/>
  <c r="H25" i="31"/>
  <c r="E26" i="31"/>
  <c r="H31" i="6"/>
  <c r="D32" i="6"/>
  <c r="G31" i="6"/>
  <c r="E32" i="6"/>
  <c r="D33" i="11"/>
  <c r="G32" i="11"/>
  <c r="H32" i="11"/>
  <c r="E33" i="11"/>
  <c r="B22" i="46"/>
  <c r="G30" i="4"/>
  <c r="D31" i="4"/>
  <c r="H30" i="4"/>
  <c r="E31" i="4"/>
  <c r="D31" i="3"/>
  <c r="H30" i="3"/>
  <c r="G30" i="3"/>
  <c r="E31" i="3"/>
  <c r="D21" i="43"/>
  <c r="E21" i="43"/>
  <c r="H33" i="7"/>
  <c r="D34" i="7"/>
  <c r="G33" i="7"/>
  <c r="E34" i="7"/>
  <c r="E35" i="10"/>
  <c r="H34" i="10"/>
  <c r="D35" i="10"/>
  <c r="G34" i="10"/>
  <c r="D22" i="41"/>
  <c r="E22" i="41"/>
  <c r="D22" i="40"/>
  <c r="E22" i="40"/>
  <c r="I102" i="46"/>
  <c r="H102" i="46"/>
  <c r="M88" i="46" s="1"/>
  <c r="M89" i="46" s="1"/>
  <c r="G23" i="37"/>
  <c r="I23" i="37" s="1"/>
  <c r="H30" i="5"/>
  <c r="D31" i="5"/>
  <c r="G30" i="5"/>
  <c r="E31" i="5"/>
  <c r="G27" i="24"/>
  <c r="D28" i="24"/>
  <c r="H27" i="24"/>
  <c r="E28" i="24"/>
  <c r="D32" i="8"/>
  <c r="H31" i="8"/>
  <c r="G31" i="8"/>
  <c r="E32" i="8"/>
  <c r="D30" i="25"/>
  <c r="G29" i="25"/>
  <c r="H29" i="25"/>
  <c r="E30" i="25"/>
  <c r="E22" i="46"/>
  <c r="F22" i="46" s="1"/>
  <c r="D23" i="38"/>
  <c r="E23" i="38"/>
  <c r="D22" i="42"/>
  <c r="E22" i="42"/>
  <c r="D29" i="23"/>
  <c r="H28" i="23"/>
  <c r="G28" i="23"/>
  <c r="E29" i="23"/>
  <c r="H24" i="30"/>
  <c r="D25" i="30"/>
  <c r="G24" i="30"/>
  <c r="E25" i="30"/>
  <c r="D23" i="45"/>
  <c r="E23" i="45" s="1"/>
  <c r="E103" i="46"/>
  <c r="F103" i="46" s="1"/>
  <c r="B103" i="46"/>
  <c r="G103" i="44"/>
  <c r="D104" i="44"/>
  <c r="N88" i="44"/>
  <c r="J102" i="44"/>
  <c r="J103" i="13"/>
  <c r="G104" i="13"/>
  <c r="D105" i="13"/>
  <c r="E105" i="13" s="1"/>
  <c r="M89" i="44"/>
  <c r="E23" i="44" l="1"/>
  <c r="F23" i="44"/>
  <c r="B23" i="44"/>
  <c r="G22" i="13"/>
  <c r="H22" i="13"/>
  <c r="D23" i="13"/>
  <c r="B23" i="13" s="1"/>
  <c r="E23" i="13"/>
  <c r="F23" i="13" s="1"/>
  <c r="G23" i="13" s="1"/>
  <c r="I103" i="45"/>
  <c r="H103" i="45"/>
  <c r="I26" i="27"/>
  <c r="N89" i="45"/>
  <c r="O88" i="45"/>
  <c r="O89" i="45" s="1"/>
  <c r="B104" i="45"/>
  <c r="E104" i="45"/>
  <c r="F104" i="45" s="1"/>
  <c r="B27" i="27"/>
  <c r="F27" i="27"/>
  <c r="D23" i="46"/>
  <c r="E23" i="46" s="1"/>
  <c r="G22" i="46"/>
  <c r="H22" i="46"/>
  <c r="I22" i="46" s="1"/>
  <c r="B28" i="24"/>
  <c r="F28" i="24"/>
  <c r="I32" i="11"/>
  <c r="B26" i="29"/>
  <c r="F26" i="29"/>
  <c r="B22" i="42"/>
  <c r="F22" i="42"/>
  <c r="H22" i="42" s="1"/>
  <c r="B30" i="25"/>
  <c r="F30" i="25"/>
  <c r="B32" i="8"/>
  <c r="F32" i="8"/>
  <c r="B22" i="40"/>
  <c r="F22" i="40"/>
  <c r="H22" i="40" s="1"/>
  <c r="B35" i="10"/>
  <c r="F35" i="10"/>
  <c r="F21" i="43"/>
  <c r="H21" i="43" s="1"/>
  <c r="B21" i="43"/>
  <c r="B32" i="6"/>
  <c r="F32" i="6"/>
  <c r="B24" i="37"/>
  <c r="F24" i="37"/>
  <c r="G24" i="37" s="1"/>
  <c r="D24" i="13"/>
  <c r="F26" i="28"/>
  <c r="B26" i="28"/>
  <c r="D34" i="9"/>
  <c r="H33" i="9"/>
  <c r="G33" i="9"/>
  <c r="E34" i="9"/>
  <c r="G103" i="46"/>
  <c r="D104" i="46"/>
  <c r="F25" i="30"/>
  <c r="B25" i="30"/>
  <c r="I28" i="23"/>
  <c r="B23" i="38"/>
  <c r="F23" i="38"/>
  <c r="G23" i="38" s="1"/>
  <c r="F31" i="5"/>
  <c r="B31" i="5"/>
  <c r="N88" i="46"/>
  <c r="J102" i="46"/>
  <c r="I34" i="10"/>
  <c r="I30" i="4"/>
  <c r="F33" i="11"/>
  <c r="B33" i="11"/>
  <c r="I31" i="6"/>
  <c r="B26" i="31"/>
  <c r="F26" i="31"/>
  <c r="F23" i="39"/>
  <c r="B23" i="39"/>
  <c r="I29" i="22"/>
  <c r="I31" i="8"/>
  <c r="I33" i="7"/>
  <c r="B31" i="3"/>
  <c r="F31" i="3"/>
  <c r="I25" i="31"/>
  <c r="F30" i="22"/>
  <c r="B30" i="22"/>
  <c r="F23" i="45"/>
  <c r="H23" i="45" s="1"/>
  <c r="B23" i="45"/>
  <c r="I24" i="30"/>
  <c r="B29" i="23"/>
  <c r="F29" i="23"/>
  <c r="I29" i="25"/>
  <c r="I27" i="24"/>
  <c r="I30" i="5"/>
  <c r="B22" i="41"/>
  <c r="F22" i="41"/>
  <c r="B34" i="7"/>
  <c r="F34" i="7"/>
  <c r="I30" i="3"/>
  <c r="F31" i="4"/>
  <c r="B31" i="4"/>
  <c r="I25" i="28"/>
  <c r="I25" i="29"/>
  <c r="B104" i="44"/>
  <c r="H104" i="13"/>
  <c r="I104" i="13"/>
  <c r="O88" i="44"/>
  <c r="O89" i="44" s="1"/>
  <c r="N89" i="44"/>
  <c r="I103" i="44"/>
  <c r="H103" i="44"/>
  <c r="B105" i="13"/>
  <c r="F105" i="13"/>
  <c r="E104" i="44"/>
  <c r="F104" i="44" s="1"/>
  <c r="J103" i="45" l="1"/>
  <c r="G21" i="43"/>
  <c r="H23" i="44"/>
  <c r="D24" i="44"/>
  <c r="G23" i="44"/>
  <c r="H23" i="38"/>
  <c r="I23" i="38" s="1"/>
  <c r="G104" i="45"/>
  <c r="D105" i="45"/>
  <c r="I22" i="13"/>
  <c r="H23" i="13"/>
  <c r="I23" i="13" s="1"/>
  <c r="G22" i="42"/>
  <c r="H24" i="37"/>
  <c r="I24" i="37" s="1"/>
  <c r="D28" i="27"/>
  <c r="G27" i="27"/>
  <c r="E28" i="27"/>
  <c r="H27" i="27"/>
  <c r="I27" i="27" s="1"/>
  <c r="D24" i="39"/>
  <c r="E24" i="39"/>
  <c r="O88" i="46"/>
  <c r="O89" i="46" s="1"/>
  <c r="N89" i="46"/>
  <c r="H103" i="46"/>
  <c r="I103" i="46"/>
  <c r="B24" i="13"/>
  <c r="D35" i="7"/>
  <c r="G34" i="7"/>
  <c r="H34" i="7"/>
  <c r="E35" i="7"/>
  <c r="G29" i="23"/>
  <c r="H29" i="23"/>
  <c r="D30" i="23"/>
  <c r="E30" i="23"/>
  <c r="G31" i="3"/>
  <c r="H31" i="3"/>
  <c r="D32" i="3"/>
  <c r="E32" i="3"/>
  <c r="G23" i="39"/>
  <c r="D27" i="31"/>
  <c r="G26" i="31"/>
  <c r="H26" i="31"/>
  <c r="E27" i="31"/>
  <c r="D24" i="38"/>
  <c r="E24" i="38"/>
  <c r="G32" i="6"/>
  <c r="H32" i="6"/>
  <c r="D33" i="6"/>
  <c r="E33" i="6"/>
  <c r="D22" i="43"/>
  <c r="E22" i="43"/>
  <c r="G22" i="40"/>
  <c r="I22" i="40" s="1"/>
  <c r="H32" i="8"/>
  <c r="D33" i="8"/>
  <c r="G32" i="8"/>
  <c r="E33" i="8"/>
  <c r="D23" i="42"/>
  <c r="E23" i="42"/>
  <c r="G26" i="29"/>
  <c r="H26" i="29"/>
  <c r="D27" i="29"/>
  <c r="E27" i="29"/>
  <c r="D29" i="24"/>
  <c r="G28" i="24"/>
  <c r="H28" i="24"/>
  <c r="E29" i="24"/>
  <c r="D23" i="41"/>
  <c r="E23" i="41"/>
  <c r="D24" i="45"/>
  <c r="F34" i="9"/>
  <c r="B34" i="9"/>
  <c r="I21" i="43"/>
  <c r="H31" i="4"/>
  <c r="D32" i="4"/>
  <c r="G31" i="4"/>
  <c r="E32" i="4"/>
  <c r="H22" i="41"/>
  <c r="G23" i="45"/>
  <c r="I23" i="45" s="1"/>
  <c r="D31" i="22"/>
  <c r="G30" i="22"/>
  <c r="H30" i="22"/>
  <c r="E31" i="22"/>
  <c r="D34" i="11"/>
  <c r="G33" i="11"/>
  <c r="H33" i="11"/>
  <c r="E34" i="11"/>
  <c r="G31" i="5"/>
  <c r="D32" i="5"/>
  <c r="H31" i="5"/>
  <c r="E32" i="5"/>
  <c r="G25" i="30"/>
  <c r="D26" i="30"/>
  <c r="H25" i="30"/>
  <c r="E26" i="30"/>
  <c r="G26" i="28"/>
  <c r="D27" i="28"/>
  <c r="H26" i="28"/>
  <c r="E27" i="28"/>
  <c r="D25" i="37"/>
  <c r="E25" i="37"/>
  <c r="I22" i="42"/>
  <c r="F23" i="46"/>
  <c r="G23" i="46" s="1"/>
  <c r="B23" i="46"/>
  <c r="G22" i="41"/>
  <c r="H23" i="39"/>
  <c r="E104" i="46"/>
  <c r="F104" i="46" s="1"/>
  <c r="B104" i="46"/>
  <c r="I33" i="9"/>
  <c r="E24" i="13"/>
  <c r="F24" i="13" s="1"/>
  <c r="H35" i="10"/>
  <c r="G35" i="10"/>
  <c r="D36" i="10"/>
  <c r="E36" i="10"/>
  <c r="D23" i="40"/>
  <c r="E23" i="40"/>
  <c r="H30" i="25"/>
  <c r="D31" i="25"/>
  <c r="G30" i="25"/>
  <c r="E31" i="25"/>
  <c r="D105" i="44"/>
  <c r="E105" i="44" s="1"/>
  <c r="G104" i="44"/>
  <c r="J103" i="44"/>
  <c r="J104" i="13"/>
  <c r="G105" i="13"/>
  <c r="D106" i="13"/>
  <c r="E106" i="13" s="1"/>
  <c r="E24" i="44" l="1"/>
  <c r="F24" i="44"/>
  <c r="B24" i="44"/>
  <c r="I23" i="44"/>
  <c r="E105" i="45"/>
  <c r="F105" i="45" s="1"/>
  <c r="B105" i="45"/>
  <c r="H104" i="45"/>
  <c r="I104" i="45"/>
  <c r="F28" i="27"/>
  <c r="B28" i="27"/>
  <c r="J103" i="46"/>
  <c r="D25" i="13"/>
  <c r="G24" i="13"/>
  <c r="H24" i="13"/>
  <c r="I24" i="13" s="1"/>
  <c r="G104" i="46"/>
  <c r="D105" i="46"/>
  <c r="B105" i="46" s="1"/>
  <c r="I23" i="39"/>
  <c r="B27" i="28"/>
  <c r="F27" i="28"/>
  <c r="G34" i="9"/>
  <c r="E35" i="9"/>
  <c r="D35" i="9"/>
  <c r="H34" i="9"/>
  <c r="B23" i="41"/>
  <c r="F23" i="41"/>
  <c r="G23" i="41" s="1"/>
  <c r="H23" i="41"/>
  <c r="I32" i="6"/>
  <c r="F35" i="7"/>
  <c r="B35" i="7"/>
  <c r="B36" i="10"/>
  <c r="F36" i="10"/>
  <c r="B25" i="37"/>
  <c r="F25" i="37"/>
  <c r="H25" i="37" s="1"/>
  <c r="B34" i="11"/>
  <c r="F34" i="11"/>
  <c r="F31" i="22"/>
  <c r="B31" i="22"/>
  <c r="B24" i="45"/>
  <c r="F33" i="8"/>
  <c r="B33" i="8"/>
  <c r="B22" i="43"/>
  <c r="F22" i="43"/>
  <c r="H22" i="43" s="1"/>
  <c r="I26" i="31"/>
  <c r="B31" i="25"/>
  <c r="F31" i="25"/>
  <c r="F32" i="5"/>
  <c r="B32" i="5"/>
  <c r="I30" i="25"/>
  <c r="B32" i="4"/>
  <c r="F32" i="4"/>
  <c r="E24" i="45"/>
  <c r="F24" i="45" s="1"/>
  <c r="I28" i="24"/>
  <c r="F27" i="29"/>
  <c r="B27" i="29"/>
  <c r="B23" i="42"/>
  <c r="F23" i="42"/>
  <c r="I32" i="8"/>
  <c r="F32" i="3"/>
  <c r="B32" i="3"/>
  <c r="B30" i="23"/>
  <c r="F30" i="23"/>
  <c r="I34" i="7"/>
  <c r="B24" i="39"/>
  <c r="F24" i="39"/>
  <c r="G24" i="39" s="1"/>
  <c r="D24" i="46"/>
  <c r="E24" i="46" s="1"/>
  <c r="F26" i="30"/>
  <c r="B26" i="30"/>
  <c r="B29" i="24"/>
  <c r="F29" i="24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B24" i="38"/>
  <c r="F24" i="38"/>
  <c r="H24" i="38" s="1"/>
  <c r="F27" i="31"/>
  <c r="B27" i="31"/>
  <c r="I31" i="3"/>
  <c r="I29" i="23"/>
  <c r="I105" i="13"/>
  <c r="H105" i="13"/>
  <c r="H104" i="44"/>
  <c r="I104" i="44"/>
  <c r="B106" i="13"/>
  <c r="F106" i="13"/>
  <c r="F105" i="44"/>
  <c r="B105" i="44"/>
  <c r="G24" i="44" l="1"/>
  <c r="H24" i="44"/>
  <c r="I24" i="44" s="1"/>
  <c r="D25" i="44"/>
  <c r="D106" i="45"/>
  <c r="G105" i="45"/>
  <c r="J104" i="45"/>
  <c r="I23" i="41"/>
  <c r="G25" i="37"/>
  <c r="I25" i="37" s="1"/>
  <c r="E29" i="27"/>
  <c r="H28" i="27"/>
  <c r="D29" i="27"/>
  <c r="G28" i="27"/>
  <c r="E105" i="46"/>
  <c r="F105" i="46" s="1"/>
  <c r="G105" i="46" s="1"/>
  <c r="D25" i="45"/>
  <c r="G24" i="45"/>
  <c r="H24" i="45"/>
  <c r="D33" i="5"/>
  <c r="G32" i="5"/>
  <c r="H32" i="5"/>
  <c r="E33" i="5"/>
  <c r="D32" i="22"/>
  <c r="G31" i="22"/>
  <c r="H31" i="22"/>
  <c r="I31" i="22" s="1"/>
  <c r="E32" i="22"/>
  <c r="D24" i="40"/>
  <c r="E24" i="40"/>
  <c r="D25" i="39"/>
  <c r="E25" i="39"/>
  <c r="D24" i="42"/>
  <c r="E24" i="42"/>
  <c r="H31" i="25"/>
  <c r="G31" i="25"/>
  <c r="D32" i="25"/>
  <c r="E32" i="25"/>
  <c r="D35" i="11"/>
  <c r="G34" i="11"/>
  <c r="H34" i="11"/>
  <c r="E35" i="11"/>
  <c r="I34" i="9"/>
  <c r="H27" i="28"/>
  <c r="D28" i="28"/>
  <c r="G27" i="28"/>
  <c r="E28" i="28"/>
  <c r="G27" i="31"/>
  <c r="H27" i="31"/>
  <c r="D28" i="31"/>
  <c r="E28" i="31"/>
  <c r="D25" i="38"/>
  <c r="E25" i="38"/>
  <c r="D34" i="6"/>
  <c r="G33" i="6"/>
  <c r="H33" i="6"/>
  <c r="E34" i="6"/>
  <c r="G26" i="30"/>
  <c r="D27" i="30"/>
  <c r="H26" i="30"/>
  <c r="E27" i="30"/>
  <c r="H24" i="39"/>
  <c r="D33" i="3"/>
  <c r="G32" i="3"/>
  <c r="H32" i="3"/>
  <c r="E33" i="3"/>
  <c r="G23" i="42"/>
  <c r="G27" i="29"/>
  <c r="D28" i="29"/>
  <c r="H27" i="29"/>
  <c r="E28" i="29"/>
  <c r="D23" i="43"/>
  <c r="E23" i="43"/>
  <c r="D34" i="8"/>
  <c r="G33" i="8"/>
  <c r="H33" i="8"/>
  <c r="E34" i="8"/>
  <c r="H35" i="7"/>
  <c r="D36" i="7"/>
  <c r="G35" i="7"/>
  <c r="E36" i="7"/>
  <c r="B35" i="9"/>
  <c r="F35" i="9"/>
  <c r="B25" i="13"/>
  <c r="G24" i="38"/>
  <c r="I24" i="38" s="1"/>
  <c r="G23" i="40"/>
  <c r="I23" i="40" s="1"/>
  <c r="D30" i="24"/>
  <c r="H29" i="24"/>
  <c r="G29" i="24"/>
  <c r="E30" i="24"/>
  <c r="B24" i="46"/>
  <c r="F24" i="46"/>
  <c r="G24" i="46" s="1"/>
  <c r="D31" i="23"/>
  <c r="G30" i="23"/>
  <c r="H30" i="23"/>
  <c r="E31" i="23"/>
  <c r="H23" i="42"/>
  <c r="D33" i="4"/>
  <c r="H32" i="4"/>
  <c r="G32" i="4"/>
  <c r="E33" i="4"/>
  <c r="G22" i="43"/>
  <c r="I22" i="43" s="1"/>
  <c r="D26" i="37"/>
  <c r="E26" i="37"/>
  <c r="E37" i="10"/>
  <c r="H36" i="10"/>
  <c r="D37" i="10"/>
  <c r="G36" i="10"/>
  <c r="D24" i="41"/>
  <c r="E24" i="41"/>
  <c r="I104" i="46"/>
  <c r="H104" i="46"/>
  <c r="E25" i="13"/>
  <c r="F25" i="13" s="1"/>
  <c r="D106" i="44"/>
  <c r="E106" i="44" s="1"/>
  <c r="G105" i="44"/>
  <c r="D107" i="13"/>
  <c r="E107" i="13" s="1"/>
  <c r="G106" i="13"/>
  <c r="J104" i="44"/>
  <c r="J105" i="13"/>
  <c r="B25" i="44" l="1"/>
  <c r="E25" i="44"/>
  <c r="F25" i="44" s="1"/>
  <c r="I28" i="27"/>
  <c r="I36" i="10"/>
  <c r="I31" i="25"/>
  <c r="I27" i="29"/>
  <c r="I34" i="11"/>
  <c r="I29" i="24"/>
  <c r="H105" i="45"/>
  <c r="I105" i="45"/>
  <c r="E106" i="45"/>
  <c r="F106" i="45" s="1"/>
  <c r="B106" i="45"/>
  <c r="I32" i="4"/>
  <c r="I27" i="28"/>
  <c r="I24" i="45"/>
  <c r="I35" i="7"/>
  <c r="I32" i="5"/>
  <c r="F29" i="27"/>
  <c r="B29" i="27"/>
  <c r="D106" i="46"/>
  <c r="B106" i="46" s="1"/>
  <c r="J104" i="46"/>
  <c r="D26" i="13"/>
  <c r="E26" i="13" s="1"/>
  <c r="H25" i="13"/>
  <c r="G25" i="13"/>
  <c r="B33" i="3"/>
  <c r="F33" i="3"/>
  <c r="F28" i="28"/>
  <c r="B28" i="28"/>
  <c r="B31" i="23"/>
  <c r="F31" i="23"/>
  <c r="B30" i="24"/>
  <c r="F30" i="24"/>
  <c r="F34" i="8"/>
  <c r="B34" i="8"/>
  <c r="I24" i="39"/>
  <c r="B34" i="6"/>
  <c r="F34" i="6"/>
  <c r="B28" i="31"/>
  <c r="F28" i="31"/>
  <c r="B32" i="25"/>
  <c r="F32" i="25"/>
  <c r="F24" i="42"/>
  <c r="G24" i="42" s="1"/>
  <c r="B24" i="42"/>
  <c r="F24" i="40"/>
  <c r="H24" i="40" s="1"/>
  <c r="B24" i="40"/>
  <c r="F27" i="30"/>
  <c r="B27" i="30"/>
  <c r="B24" i="41"/>
  <c r="F24" i="41"/>
  <c r="I23" i="42"/>
  <c r="B28" i="29"/>
  <c r="F28" i="29"/>
  <c r="I32" i="3"/>
  <c r="I27" i="31"/>
  <c r="B35" i="11"/>
  <c r="F35" i="11"/>
  <c r="B25" i="45"/>
  <c r="F33" i="4"/>
  <c r="B33" i="4"/>
  <c r="D25" i="46"/>
  <c r="E25" i="46" s="1"/>
  <c r="H105" i="46"/>
  <c r="I105" i="46"/>
  <c r="F37" i="10"/>
  <c r="B37" i="10"/>
  <c r="F26" i="37"/>
  <c r="B26" i="37"/>
  <c r="I30" i="23"/>
  <c r="H24" i="46"/>
  <c r="I24" i="46" s="1"/>
  <c r="E36" i="9"/>
  <c r="D36" i="9"/>
  <c r="G35" i="9"/>
  <c r="H35" i="9"/>
  <c r="B36" i="7"/>
  <c r="F36" i="7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B32" i="22"/>
  <c r="B33" i="5"/>
  <c r="F33" i="5"/>
  <c r="E25" i="45"/>
  <c r="F25" i="45" s="1"/>
  <c r="H105" i="44"/>
  <c r="I105" i="44"/>
  <c r="H106" i="13"/>
  <c r="I106" i="13"/>
  <c r="F107" i="13"/>
  <c r="B107" i="13"/>
  <c r="F106" i="44"/>
  <c r="B106" i="44"/>
  <c r="E106" i="46" l="1"/>
  <c r="F106" i="46" s="1"/>
  <c r="G106" i="46" s="1"/>
  <c r="J105" i="45"/>
  <c r="D26" i="44"/>
  <c r="H25" i="44"/>
  <c r="G25" i="44"/>
  <c r="G106" i="45"/>
  <c r="D107" i="45"/>
  <c r="B107" i="45" s="1"/>
  <c r="E107" i="45"/>
  <c r="F107" i="45" s="1"/>
  <c r="D108" i="45" s="1"/>
  <c r="B108" i="45" s="1"/>
  <c r="G24" i="40"/>
  <c r="I24" i="40" s="1"/>
  <c r="H24" i="42"/>
  <c r="G29" i="27"/>
  <c r="E30" i="27"/>
  <c r="H29" i="27"/>
  <c r="D30" i="27"/>
  <c r="D26" i="45"/>
  <c r="E26" i="45" s="1"/>
  <c r="H25" i="45"/>
  <c r="G25" i="45"/>
  <c r="D24" i="43"/>
  <c r="E24" i="43"/>
  <c r="D27" i="37"/>
  <c r="E27" i="37"/>
  <c r="D34" i="4"/>
  <c r="G33" i="4"/>
  <c r="H33" i="4"/>
  <c r="E34" i="4"/>
  <c r="G28" i="31"/>
  <c r="H28" i="31"/>
  <c r="D29" i="31"/>
  <c r="E29" i="31"/>
  <c r="D31" i="24"/>
  <c r="G30" i="24"/>
  <c r="H30" i="24"/>
  <c r="E31" i="24"/>
  <c r="D33" i="22"/>
  <c r="G32" i="22"/>
  <c r="H32" i="22"/>
  <c r="E33" i="22"/>
  <c r="D26" i="39"/>
  <c r="E26" i="39"/>
  <c r="D26" i="38"/>
  <c r="E26" i="38"/>
  <c r="H23" i="43"/>
  <c r="D37" i="7"/>
  <c r="G36" i="7"/>
  <c r="H36" i="7"/>
  <c r="I36" i="7" s="1"/>
  <c r="E37" i="7"/>
  <c r="B36" i="9"/>
  <c r="F36" i="9"/>
  <c r="H26" i="37"/>
  <c r="D36" i="11"/>
  <c r="G35" i="11"/>
  <c r="H35" i="11"/>
  <c r="E36" i="11"/>
  <c r="D29" i="29"/>
  <c r="G28" i="29"/>
  <c r="H28" i="29"/>
  <c r="E29" i="29"/>
  <c r="G27" i="30"/>
  <c r="D28" i="30"/>
  <c r="H27" i="30"/>
  <c r="E28" i="30"/>
  <c r="D25" i="42"/>
  <c r="E25" i="42"/>
  <c r="H28" i="28"/>
  <c r="G28" i="28"/>
  <c r="D29" i="28"/>
  <c r="E29" i="28"/>
  <c r="I25" i="13"/>
  <c r="D25" i="41"/>
  <c r="E25" i="41"/>
  <c r="G33" i="5"/>
  <c r="H33" i="5"/>
  <c r="D34" i="5"/>
  <c r="E34" i="5"/>
  <c r="G25" i="39"/>
  <c r="I25" i="39" s="1"/>
  <c r="H25" i="38"/>
  <c r="I25" i="38" s="1"/>
  <c r="E38" i="10"/>
  <c r="D38" i="10"/>
  <c r="G37" i="10"/>
  <c r="H37" i="10"/>
  <c r="F25" i="46"/>
  <c r="G25" i="46" s="1"/>
  <c r="B25" i="46"/>
  <c r="H24" i="41"/>
  <c r="D25" i="40"/>
  <c r="E25" i="40"/>
  <c r="I24" i="42"/>
  <c r="D35" i="6"/>
  <c r="G34" i="6"/>
  <c r="H34" i="6"/>
  <c r="E35" i="6"/>
  <c r="H31" i="23"/>
  <c r="D32" i="23"/>
  <c r="G31" i="23"/>
  <c r="E32" i="23"/>
  <c r="D34" i="3"/>
  <c r="G33" i="3"/>
  <c r="H33" i="3"/>
  <c r="E34" i="3"/>
  <c r="G23" i="43"/>
  <c r="I35" i="9"/>
  <c r="G26" i="37"/>
  <c r="J105" i="46"/>
  <c r="G24" i="41"/>
  <c r="G32" i="25"/>
  <c r="D33" i="25"/>
  <c r="H32" i="25"/>
  <c r="E33" i="25"/>
  <c r="D35" i="8"/>
  <c r="G34" i="8"/>
  <c r="H34" i="8"/>
  <c r="E35" i="8"/>
  <c r="B26" i="13"/>
  <c r="F26" i="13"/>
  <c r="G26" i="13" s="1"/>
  <c r="J106" i="13"/>
  <c r="G107" i="13"/>
  <c r="D108" i="13"/>
  <c r="E108" i="13" s="1"/>
  <c r="J105" i="44"/>
  <c r="D107" i="44"/>
  <c r="E107" i="44" s="1"/>
  <c r="G106" i="44"/>
  <c r="G107" i="45" l="1"/>
  <c r="D107" i="46"/>
  <c r="B107" i="46" s="1"/>
  <c r="I25" i="44"/>
  <c r="E26" i="44"/>
  <c r="B26" i="44"/>
  <c r="F26" i="44"/>
  <c r="I29" i="27"/>
  <c r="I106" i="45"/>
  <c r="H106" i="45"/>
  <c r="I28" i="31"/>
  <c r="I32" i="22"/>
  <c r="I34" i="8"/>
  <c r="B30" i="27"/>
  <c r="F30" i="27"/>
  <c r="I26" i="37"/>
  <c r="I37" i="10"/>
  <c r="I33" i="5"/>
  <c r="I27" i="30"/>
  <c r="I28" i="29"/>
  <c r="I35" i="11"/>
  <c r="I33" i="3"/>
  <c r="I34" i="6"/>
  <c r="I24" i="41"/>
  <c r="B35" i="8"/>
  <c r="F35" i="8"/>
  <c r="D27" i="13"/>
  <c r="E27" i="13" s="1"/>
  <c r="F32" i="23"/>
  <c r="B32" i="23"/>
  <c r="F25" i="40"/>
  <c r="H25" i="40" s="1"/>
  <c r="B25" i="40"/>
  <c r="I28" i="28"/>
  <c r="G36" i="9"/>
  <c r="E37" i="9"/>
  <c r="H36" i="9"/>
  <c r="D37" i="9"/>
  <c r="B26" i="38"/>
  <c r="F26" i="38"/>
  <c r="H26" i="38" s="1"/>
  <c r="B31" i="24"/>
  <c r="F31" i="24"/>
  <c r="B34" i="4"/>
  <c r="F34" i="4"/>
  <c r="F24" i="43"/>
  <c r="B24" i="43"/>
  <c r="B26" i="45"/>
  <c r="F26" i="45"/>
  <c r="F34" i="5"/>
  <c r="B34" i="5"/>
  <c r="H26" i="13"/>
  <c r="I26" i="13" s="1"/>
  <c r="I32" i="25"/>
  <c r="F34" i="3"/>
  <c r="B34" i="3"/>
  <c r="I31" i="23"/>
  <c r="B35" i="6"/>
  <c r="F35" i="6"/>
  <c r="F28" i="30"/>
  <c r="B28" i="30"/>
  <c r="B37" i="7"/>
  <c r="F37" i="7"/>
  <c r="E107" i="46"/>
  <c r="F107" i="46" s="1"/>
  <c r="D26" i="46"/>
  <c r="B25" i="41"/>
  <c r="F25" i="41"/>
  <c r="H25" i="41" s="1"/>
  <c r="B33" i="25"/>
  <c r="F33" i="25"/>
  <c r="H25" i="46"/>
  <c r="I25" i="46" s="1"/>
  <c r="B38" i="10"/>
  <c r="F38" i="10"/>
  <c r="B29" i="28"/>
  <c r="F29" i="28"/>
  <c r="F25" i="42"/>
  <c r="B25" i="42"/>
  <c r="F29" i="29"/>
  <c r="B29" i="29"/>
  <c r="F36" i="11"/>
  <c r="B36" i="11"/>
  <c r="I23" i="43"/>
  <c r="F26" i="39"/>
  <c r="H26" i="39" s="1"/>
  <c r="B26" i="39"/>
  <c r="F33" i="22"/>
  <c r="B33" i="22"/>
  <c r="I30" i="24"/>
  <c r="F29" i="31"/>
  <c r="B29" i="31"/>
  <c r="I33" i="4"/>
  <c r="F27" i="37"/>
  <c r="B27" i="37"/>
  <c r="I25" i="45"/>
  <c r="H106" i="46"/>
  <c r="I106" i="46"/>
  <c r="E108" i="45"/>
  <c r="F108" i="45" s="1"/>
  <c r="H107" i="45"/>
  <c r="I107" i="45"/>
  <c r="B107" i="44"/>
  <c r="F107" i="44"/>
  <c r="H106" i="44"/>
  <c r="I106" i="44"/>
  <c r="H107" i="13"/>
  <c r="I107" i="13"/>
  <c r="B108" i="13"/>
  <c r="F108" i="13"/>
  <c r="H26" i="44" l="1"/>
  <c r="G26" i="44"/>
  <c r="I26" i="44" s="1"/>
  <c r="D27" i="44"/>
  <c r="J106" i="45"/>
  <c r="G26" i="38"/>
  <c r="I26" i="38" s="1"/>
  <c r="G26" i="39"/>
  <c r="I26" i="39" s="1"/>
  <c r="H30" i="27"/>
  <c r="E31" i="27"/>
  <c r="D31" i="27"/>
  <c r="G30" i="27"/>
  <c r="G107" i="46"/>
  <c r="D108" i="46"/>
  <c r="E28" i="37"/>
  <c r="D28" i="37"/>
  <c r="H37" i="7"/>
  <c r="D38" i="7"/>
  <c r="G37" i="7"/>
  <c r="E38" i="7"/>
  <c r="H34" i="3"/>
  <c r="G34" i="3"/>
  <c r="D35" i="3"/>
  <c r="E35" i="3"/>
  <c r="D25" i="43"/>
  <c r="E25" i="43"/>
  <c r="G27" i="37"/>
  <c r="D37" i="11"/>
  <c r="G36" i="11"/>
  <c r="H36" i="11"/>
  <c r="E37" i="11"/>
  <c r="D26" i="42"/>
  <c r="E26" i="42"/>
  <c r="G33" i="25"/>
  <c r="H33" i="25"/>
  <c r="D34" i="25"/>
  <c r="E34" i="25"/>
  <c r="D26" i="41"/>
  <c r="E26" i="41"/>
  <c r="D27" i="45"/>
  <c r="G24" i="43"/>
  <c r="G34" i="4"/>
  <c r="D35" i="4"/>
  <c r="H34" i="4"/>
  <c r="I34" i="4" s="1"/>
  <c r="E35" i="4"/>
  <c r="B37" i="9"/>
  <c r="F37" i="9"/>
  <c r="D26" i="40"/>
  <c r="E26" i="40"/>
  <c r="G29" i="28"/>
  <c r="H29" i="28"/>
  <c r="D30" i="28"/>
  <c r="E30" i="28"/>
  <c r="B26" i="46"/>
  <c r="G35" i="6"/>
  <c r="D36" i="6"/>
  <c r="H35" i="6"/>
  <c r="E36" i="6"/>
  <c r="G34" i="5"/>
  <c r="D35" i="5"/>
  <c r="H34" i="5"/>
  <c r="E35" i="5"/>
  <c r="J107" i="45"/>
  <c r="J106" i="46"/>
  <c r="H27" i="37"/>
  <c r="G33" i="22"/>
  <c r="D34" i="22"/>
  <c r="H33" i="22"/>
  <c r="I33" i="22" s="1"/>
  <c r="E34" i="22"/>
  <c r="D27" i="39"/>
  <c r="E27" i="39"/>
  <c r="G25" i="42"/>
  <c r="E39" i="10"/>
  <c r="G38" i="10"/>
  <c r="H38" i="10"/>
  <c r="D39" i="10"/>
  <c r="H26" i="45"/>
  <c r="D27" i="38"/>
  <c r="E27" i="38"/>
  <c r="I36" i="9"/>
  <c r="G25" i="40"/>
  <c r="I25" i="40" s="1"/>
  <c r="H35" i="8"/>
  <c r="D36" i="8"/>
  <c r="G35" i="8"/>
  <c r="E36" i="8"/>
  <c r="B27" i="13"/>
  <c r="F27" i="13"/>
  <c r="H29" i="31"/>
  <c r="D30" i="31"/>
  <c r="G29" i="31"/>
  <c r="E30" i="31"/>
  <c r="D30" i="29"/>
  <c r="H29" i="29"/>
  <c r="G29" i="29"/>
  <c r="E30" i="29"/>
  <c r="H25" i="42"/>
  <c r="G25" i="41"/>
  <c r="I25" i="41" s="1"/>
  <c r="E26" i="46"/>
  <c r="F26" i="46" s="1"/>
  <c r="D29" i="30"/>
  <c r="H28" i="30"/>
  <c r="G28" i="30"/>
  <c r="E29" i="30"/>
  <c r="G26" i="45"/>
  <c r="H24" i="43"/>
  <c r="G31" i="24"/>
  <c r="D32" i="24"/>
  <c r="H31" i="24"/>
  <c r="E32" i="24"/>
  <c r="D33" i="23"/>
  <c r="G32" i="23"/>
  <c r="H32" i="23"/>
  <c r="E33" i="23"/>
  <c r="G108" i="45"/>
  <c r="D109" i="45"/>
  <c r="J107" i="13"/>
  <c r="G108" i="13"/>
  <c r="D109" i="13"/>
  <c r="E109" i="13" s="1"/>
  <c r="J106" i="44"/>
  <c r="D108" i="44"/>
  <c r="E108" i="44" s="1"/>
  <c r="G107" i="44"/>
  <c r="E27" i="44" l="1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B31" i="27"/>
  <c r="D27" i="46"/>
  <c r="G26" i="46"/>
  <c r="H26" i="46"/>
  <c r="B32" i="24"/>
  <c r="F32" i="24"/>
  <c r="F30" i="29"/>
  <c r="B30" i="29"/>
  <c r="F39" i="10"/>
  <c r="B39" i="10"/>
  <c r="F30" i="28"/>
  <c r="B30" i="28"/>
  <c r="B26" i="40"/>
  <c r="F26" i="40"/>
  <c r="H26" i="40" s="1"/>
  <c r="B27" i="45"/>
  <c r="B25" i="43"/>
  <c r="F25" i="43"/>
  <c r="I34" i="3"/>
  <c r="D28" i="13"/>
  <c r="I24" i="43"/>
  <c r="I28" i="30"/>
  <c r="H27" i="13"/>
  <c r="B36" i="8"/>
  <c r="F36" i="8"/>
  <c r="B34" i="22"/>
  <c r="F34" i="22"/>
  <c r="F35" i="5"/>
  <c r="B35" i="5"/>
  <c r="F36" i="6"/>
  <c r="B36" i="6"/>
  <c r="G37" i="9"/>
  <c r="E38" i="9"/>
  <c r="H37" i="9"/>
  <c r="D38" i="9"/>
  <c r="B35" i="4"/>
  <c r="F35" i="4"/>
  <c r="E27" i="45"/>
  <c r="F27" i="45" s="1"/>
  <c r="F34" i="25"/>
  <c r="B34" i="25"/>
  <c r="B26" i="42"/>
  <c r="F26" i="42"/>
  <c r="H26" i="42" s="1"/>
  <c r="F37" i="11"/>
  <c r="B37" i="11"/>
  <c r="E108" i="46"/>
  <c r="F108" i="46" s="1"/>
  <c r="B108" i="46"/>
  <c r="F30" i="31"/>
  <c r="B30" i="31"/>
  <c r="B26" i="41"/>
  <c r="F26" i="41"/>
  <c r="H26" i="41" s="1"/>
  <c r="B38" i="7"/>
  <c r="F38" i="7"/>
  <c r="B33" i="23"/>
  <c r="F33" i="23"/>
  <c r="I32" i="23"/>
  <c r="I31" i="24"/>
  <c r="F29" i="30"/>
  <c r="B29" i="30"/>
  <c r="G27" i="13"/>
  <c r="I35" i="8"/>
  <c r="B27" i="38"/>
  <c r="F27" i="38"/>
  <c r="G27" i="38" s="1"/>
  <c r="B27" i="39"/>
  <c r="F27" i="39"/>
  <c r="H27" i="39" s="1"/>
  <c r="I33" i="25"/>
  <c r="F35" i="3"/>
  <c r="B35" i="3"/>
  <c r="B28" i="37"/>
  <c r="F28" i="37"/>
  <c r="H107" i="46"/>
  <c r="I107" i="46"/>
  <c r="E109" i="45"/>
  <c r="F109" i="45" s="1"/>
  <c r="B109" i="45"/>
  <c r="H108" i="45"/>
  <c r="I108" i="45"/>
  <c r="I107" i="44"/>
  <c r="H107" i="44"/>
  <c r="I108" i="13"/>
  <c r="H108" i="13"/>
  <c r="B108" i="44"/>
  <c r="F108" i="44"/>
  <c r="F109" i="13"/>
  <c r="B109" i="13"/>
  <c r="G26" i="42" l="1"/>
  <c r="H27" i="44"/>
  <c r="D28" i="44"/>
  <c r="G27" i="44"/>
  <c r="I27" i="44" s="1"/>
  <c r="I26" i="46"/>
  <c r="D32" i="27"/>
  <c r="E32" i="27"/>
  <c r="H31" i="27"/>
  <c r="G31" i="27"/>
  <c r="J108" i="45"/>
  <c r="D28" i="45"/>
  <c r="E28" i="45" s="1"/>
  <c r="H27" i="45"/>
  <c r="G27" i="45"/>
  <c r="D38" i="11"/>
  <c r="G37" i="11"/>
  <c r="H37" i="11"/>
  <c r="E38" i="11"/>
  <c r="D26" i="43"/>
  <c r="E26" i="43"/>
  <c r="D28" i="39"/>
  <c r="E28" i="39"/>
  <c r="D28" i="38"/>
  <c r="E28" i="38"/>
  <c r="G35" i="5"/>
  <c r="D36" i="5"/>
  <c r="H35" i="5"/>
  <c r="E36" i="5"/>
  <c r="B28" i="13"/>
  <c r="G25" i="43"/>
  <c r="G26" i="40"/>
  <c r="I26" i="40" s="1"/>
  <c r="G30" i="28"/>
  <c r="D31" i="28"/>
  <c r="H30" i="28"/>
  <c r="E31" i="28"/>
  <c r="G30" i="29"/>
  <c r="D31" i="29"/>
  <c r="H30" i="29"/>
  <c r="E31" i="29"/>
  <c r="G108" i="46"/>
  <c r="D109" i="46"/>
  <c r="B109" i="46" s="1"/>
  <c r="G35" i="4"/>
  <c r="H35" i="4"/>
  <c r="D36" i="4"/>
  <c r="E36" i="4"/>
  <c r="D37" i="8"/>
  <c r="H36" i="8"/>
  <c r="G36" i="8"/>
  <c r="E37" i="8"/>
  <c r="D29" i="37"/>
  <c r="E29" i="37"/>
  <c r="G28" i="37"/>
  <c r="H35" i="3"/>
  <c r="D36" i="3"/>
  <c r="G35" i="3"/>
  <c r="E36" i="3"/>
  <c r="H27" i="38"/>
  <c r="I27" i="38" s="1"/>
  <c r="H33" i="23"/>
  <c r="G33" i="23"/>
  <c r="D34" i="23"/>
  <c r="E34" i="23"/>
  <c r="D27" i="41"/>
  <c r="E27" i="41"/>
  <c r="I26" i="42"/>
  <c r="G34" i="25"/>
  <c r="D35" i="25"/>
  <c r="H34" i="25"/>
  <c r="E35" i="25"/>
  <c r="B38" i="9"/>
  <c r="F38" i="9"/>
  <c r="G34" i="22"/>
  <c r="D35" i="22"/>
  <c r="H34" i="22"/>
  <c r="E35" i="22"/>
  <c r="I27" i="13"/>
  <c r="E28" i="13"/>
  <c r="F28" i="13" s="1"/>
  <c r="H28" i="13" s="1"/>
  <c r="H32" i="24"/>
  <c r="D33" i="24"/>
  <c r="G32" i="24"/>
  <c r="E33" i="24"/>
  <c r="B27" i="46"/>
  <c r="D39" i="7"/>
  <c r="G38" i="7"/>
  <c r="H38" i="7"/>
  <c r="E39" i="7"/>
  <c r="D27" i="40"/>
  <c r="E27" i="40"/>
  <c r="J107" i="46"/>
  <c r="H28" i="37"/>
  <c r="G27" i="39"/>
  <c r="I27" i="39" s="1"/>
  <c r="D30" i="30"/>
  <c r="G29" i="30"/>
  <c r="H29" i="30"/>
  <c r="E30" i="30"/>
  <c r="G26" i="41"/>
  <c r="I26" i="41" s="1"/>
  <c r="H30" i="31"/>
  <c r="D31" i="31"/>
  <c r="G30" i="31"/>
  <c r="E31" i="31"/>
  <c r="D27" i="42"/>
  <c r="E27" i="42"/>
  <c r="I37" i="9"/>
  <c r="H36" i="6"/>
  <c r="G36" i="6"/>
  <c r="D37" i="6"/>
  <c r="E37" i="6"/>
  <c r="H25" i="43"/>
  <c r="I25" i="43" s="1"/>
  <c r="D40" i="10"/>
  <c r="H39" i="10"/>
  <c r="G39" i="10"/>
  <c r="E40" i="10"/>
  <c r="E27" i="46"/>
  <c r="F27" i="46" s="1"/>
  <c r="G109" i="45"/>
  <c r="D110" i="45"/>
  <c r="J107" i="44"/>
  <c r="G109" i="13"/>
  <c r="D110" i="13"/>
  <c r="E110" i="13" s="1"/>
  <c r="J108" i="13"/>
  <c r="D109" i="44"/>
  <c r="E109" i="44" s="1"/>
  <c r="G108" i="44"/>
  <c r="E28" i="44" l="1"/>
  <c r="B28" i="44"/>
  <c r="F28" i="44"/>
  <c r="G28" i="44"/>
  <c r="I39" i="10"/>
  <c r="I30" i="31"/>
  <c r="I34" i="22"/>
  <c r="I35" i="4"/>
  <c r="I28" i="37"/>
  <c r="I32" i="24"/>
  <c r="I37" i="11"/>
  <c r="F32" i="27"/>
  <c r="B32" i="27"/>
  <c r="I33" i="23"/>
  <c r="I30" i="29"/>
  <c r="I30" i="28"/>
  <c r="I35" i="3"/>
  <c r="I31" i="27"/>
  <c r="E109" i="46"/>
  <c r="F109" i="46" s="1"/>
  <c r="G109" i="46" s="1"/>
  <c r="D28" i="46"/>
  <c r="E28" i="46" s="1"/>
  <c r="H27" i="46"/>
  <c r="G27" i="46"/>
  <c r="B40" i="10"/>
  <c r="F40" i="10"/>
  <c r="F27" i="42"/>
  <c r="H27" i="42" s="1"/>
  <c r="B27" i="42"/>
  <c r="B28" i="39"/>
  <c r="F28" i="39"/>
  <c r="B30" i="30"/>
  <c r="F30" i="30"/>
  <c r="F35" i="22"/>
  <c r="B35" i="22"/>
  <c r="B34" i="23"/>
  <c r="F34" i="23"/>
  <c r="B36" i="4"/>
  <c r="F36" i="4"/>
  <c r="I27" i="45"/>
  <c r="B27" i="40"/>
  <c r="F27" i="40"/>
  <c r="G27" i="40" s="1"/>
  <c r="B36" i="5"/>
  <c r="F36" i="5"/>
  <c r="I36" i="6"/>
  <c r="I38" i="7"/>
  <c r="I34" i="25"/>
  <c r="I36" i="8"/>
  <c r="I108" i="46"/>
  <c r="H108" i="46"/>
  <c r="F31" i="29"/>
  <c r="B31" i="29"/>
  <c r="B31" i="28"/>
  <c r="F31" i="28"/>
  <c r="F28" i="38"/>
  <c r="G28" i="38" s="1"/>
  <c r="B28" i="38"/>
  <c r="F26" i="43"/>
  <c r="H26" i="43" s="1"/>
  <c r="B26" i="43"/>
  <c r="F38" i="11"/>
  <c r="B38" i="11"/>
  <c r="B39" i="7"/>
  <c r="F39" i="7"/>
  <c r="D29" i="13"/>
  <c r="E29" i="13" s="1"/>
  <c r="B37" i="6"/>
  <c r="F37" i="6"/>
  <c r="F31" i="31"/>
  <c r="B31" i="31"/>
  <c r="I29" i="30"/>
  <c r="F33" i="24"/>
  <c r="B33" i="24"/>
  <c r="D39" i="9"/>
  <c r="E39" i="9"/>
  <c r="G38" i="9"/>
  <c r="H38" i="9"/>
  <c r="F35" i="25"/>
  <c r="B35" i="25"/>
  <c r="F27" i="41"/>
  <c r="G27" i="41" s="1"/>
  <c r="B27" i="41"/>
  <c r="B36" i="3"/>
  <c r="F36" i="3"/>
  <c r="B29" i="37"/>
  <c r="F29" i="37"/>
  <c r="H29" i="37" s="1"/>
  <c r="F37" i="8"/>
  <c r="B37" i="8"/>
  <c r="G28" i="13"/>
  <c r="I28" i="13" s="1"/>
  <c r="I35" i="5"/>
  <c r="B28" i="45"/>
  <c r="F28" i="45"/>
  <c r="H28" i="45" s="1"/>
  <c r="I109" i="45"/>
  <c r="H109" i="45"/>
  <c r="E110" i="45"/>
  <c r="F110" i="45" s="1"/>
  <c r="B110" i="45"/>
  <c r="I108" i="44"/>
  <c r="H108" i="44"/>
  <c r="F110" i="13"/>
  <c r="B110" i="13"/>
  <c r="B109" i="44"/>
  <c r="F109" i="44"/>
  <c r="H109" i="13"/>
  <c r="I109" i="13"/>
  <c r="H28" i="44" l="1"/>
  <c r="I28" i="44" s="1"/>
  <c r="D29" i="44"/>
  <c r="I38" i="9"/>
  <c r="H28" i="38"/>
  <c r="I28" i="38" s="1"/>
  <c r="G29" i="37"/>
  <c r="H27" i="41"/>
  <c r="I27" i="41" s="1"/>
  <c r="H27" i="40"/>
  <c r="I27" i="40" s="1"/>
  <c r="D33" i="27"/>
  <c r="E33" i="27"/>
  <c r="G32" i="27"/>
  <c r="H32" i="27"/>
  <c r="D110" i="46"/>
  <c r="E110" i="46" s="1"/>
  <c r="F110" i="46" s="1"/>
  <c r="J108" i="46"/>
  <c r="H36" i="3"/>
  <c r="G36" i="3"/>
  <c r="D37" i="3"/>
  <c r="E37" i="3"/>
  <c r="G36" i="5"/>
  <c r="H36" i="5"/>
  <c r="D37" i="5"/>
  <c r="E37" i="5"/>
  <c r="H35" i="22"/>
  <c r="G35" i="22"/>
  <c r="D36" i="22"/>
  <c r="E36" i="22"/>
  <c r="H109" i="46"/>
  <c r="I109" i="46"/>
  <c r="D29" i="45"/>
  <c r="E29" i="45" s="1"/>
  <c r="I29" i="37"/>
  <c r="G33" i="24"/>
  <c r="D34" i="24"/>
  <c r="H33" i="24"/>
  <c r="E34" i="24"/>
  <c r="D32" i="31"/>
  <c r="G31" i="31"/>
  <c r="H31" i="31"/>
  <c r="E32" i="31"/>
  <c r="F29" i="13"/>
  <c r="B29" i="13"/>
  <c r="G38" i="11"/>
  <c r="D39" i="11"/>
  <c r="H38" i="11"/>
  <c r="E39" i="11"/>
  <c r="D27" i="43"/>
  <c r="E27" i="43"/>
  <c r="G31" i="29"/>
  <c r="D32" i="29"/>
  <c r="H31" i="29"/>
  <c r="E32" i="29"/>
  <c r="H34" i="23"/>
  <c r="G34" i="23"/>
  <c r="D35" i="23"/>
  <c r="E35" i="23"/>
  <c r="H30" i="30"/>
  <c r="G30" i="30"/>
  <c r="D31" i="30"/>
  <c r="E31" i="30"/>
  <c r="G40" i="10"/>
  <c r="H40" i="10"/>
  <c r="E41" i="10"/>
  <c r="D41" i="10"/>
  <c r="I27" i="46"/>
  <c r="D29" i="39"/>
  <c r="E29" i="39"/>
  <c r="G28" i="45"/>
  <c r="I28" i="45" s="1"/>
  <c r="E30" i="37"/>
  <c r="D30" i="37"/>
  <c r="G37" i="6"/>
  <c r="D38" i="6"/>
  <c r="H37" i="6"/>
  <c r="E38" i="6"/>
  <c r="H39" i="7"/>
  <c r="D40" i="7"/>
  <c r="G39" i="7"/>
  <c r="E40" i="7"/>
  <c r="H31" i="28"/>
  <c r="G31" i="28"/>
  <c r="D32" i="28"/>
  <c r="E32" i="28"/>
  <c r="H28" i="39"/>
  <c r="D28" i="42"/>
  <c r="E28" i="42"/>
  <c r="H37" i="8"/>
  <c r="D38" i="8"/>
  <c r="G37" i="8"/>
  <c r="E38" i="8"/>
  <c r="D28" i="41"/>
  <c r="E28" i="41"/>
  <c r="H35" i="25"/>
  <c r="G35" i="25"/>
  <c r="D36" i="25"/>
  <c r="E36" i="25"/>
  <c r="F39" i="9"/>
  <c r="B39" i="9"/>
  <c r="G26" i="43"/>
  <c r="I26" i="43" s="1"/>
  <c r="D29" i="38"/>
  <c r="E29" i="38"/>
  <c r="D28" i="40"/>
  <c r="E28" i="40"/>
  <c r="G36" i="4"/>
  <c r="D37" i="4"/>
  <c r="H36" i="4"/>
  <c r="E37" i="4"/>
  <c r="G28" i="39"/>
  <c r="G27" i="42"/>
  <c r="I27" i="42" s="1"/>
  <c r="F28" i="46"/>
  <c r="G28" i="46" s="1"/>
  <c r="B28" i="46"/>
  <c r="J109" i="45"/>
  <c r="G110" i="45"/>
  <c r="D111" i="45"/>
  <c r="J109" i="13"/>
  <c r="J108" i="44"/>
  <c r="G110" i="13"/>
  <c r="D111" i="13"/>
  <c r="E111" i="13" s="1"/>
  <c r="D110" i="44"/>
  <c r="E110" i="44" s="1"/>
  <c r="G109" i="44"/>
  <c r="B110" i="46" l="1"/>
  <c r="B29" i="44"/>
  <c r="E29" i="44"/>
  <c r="F29" i="44" s="1"/>
  <c r="I36" i="4"/>
  <c r="I36" i="5"/>
  <c r="I35" i="25"/>
  <c r="I30" i="30"/>
  <c r="I34" i="23"/>
  <c r="I32" i="27"/>
  <c r="I39" i="7"/>
  <c r="B33" i="27"/>
  <c r="F33" i="27"/>
  <c r="I31" i="29"/>
  <c r="I31" i="31"/>
  <c r="I36" i="3"/>
  <c r="I28" i="39"/>
  <c r="I31" i="28"/>
  <c r="J109" i="46"/>
  <c r="G110" i="46"/>
  <c r="D111" i="46"/>
  <c r="F37" i="4"/>
  <c r="B37" i="4"/>
  <c r="E40" i="9"/>
  <c r="H39" i="9"/>
  <c r="D40" i="9"/>
  <c r="G39" i="9"/>
  <c r="B31" i="30"/>
  <c r="F31" i="30"/>
  <c r="B27" i="43"/>
  <c r="F27" i="43"/>
  <c r="H27" i="43" s="1"/>
  <c r="D30" i="13"/>
  <c r="E30" i="13" s="1"/>
  <c r="B37" i="3"/>
  <c r="F37" i="3"/>
  <c r="F29" i="38"/>
  <c r="B29" i="38"/>
  <c r="F38" i="8"/>
  <c r="B38" i="8"/>
  <c r="B30" i="37"/>
  <c r="F30" i="37"/>
  <c r="H30" i="37" s="1"/>
  <c r="I40" i="10"/>
  <c r="B32" i="29"/>
  <c r="F32" i="29"/>
  <c r="I35" i="22"/>
  <c r="D29" i="46"/>
  <c r="E29" i="46" s="1"/>
  <c r="H28" i="46"/>
  <c r="I28" i="46" s="1"/>
  <c r="B36" i="25"/>
  <c r="F36" i="25"/>
  <c r="B28" i="41"/>
  <c r="F28" i="41"/>
  <c r="G28" i="41" s="1"/>
  <c r="I37" i="8"/>
  <c r="B32" i="28"/>
  <c r="F32" i="28"/>
  <c r="I37" i="6"/>
  <c r="I38" i="11"/>
  <c r="G29" i="13"/>
  <c r="I33" i="24"/>
  <c r="F29" i="39"/>
  <c r="G29" i="39" s="1"/>
  <c r="B29" i="39"/>
  <c r="B35" i="23"/>
  <c r="F35" i="23"/>
  <c r="B32" i="31"/>
  <c r="F32" i="31"/>
  <c r="B28" i="40"/>
  <c r="F28" i="40"/>
  <c r="H28" i="40" s="1"/>
  <c r="B28" i="42"/>
  <c r="F28" i="42"/>
  <c r="G28" i="42" s="1"/>
  <c r="B40" i="7"/>
  <c r="F40" i="7"/>
  <c r="F38" i="6"/>
  <c r="B38" i="6"/>
  <c r="B41" i="10"/>
  <c r="F41" i="10"/>
  <c r="F39" i="11"/>
  <c r="B39" i="11"/>
  <c r="H29" i="13"/>
  <c r="I29" i="13" s="1"/>
  <c r="F34" i="24"/>
  <c r="B34" i="24"/>
  <c r="F29" i="45"/>
  <c r="B29" i="45"/>
  <c r="B36" i="22"/>
  <c r="F36" i="22"/>
  <c r="F37" i="5"/>
  <c r="B37" i="5"/>
  <c r="B111" i="45"/>
  <c r="E111" i="45"/>
  <c r="F111" i="45" s="1"/>
  <c r="I110" i="45"/>
  <c r="H110" i="45"/>
  <c r="H110" i="13"/>
  <c r="I110" i="13"/>
  <c r="I109" i="44"/>
  <c r="H109" i="44"/>
  <c r="B110" i="44"/>
  <c r="F110" i="44"/>
  <c r="B111" i="13"/>
  <c r="F111" i="13"/>
  <c r="H29" i="44" l="1"/>
  <c r="D30" i="44"/>
  <c r="G29" i="44"/>
  <c r="G30" i="37"/>
  <c r="H28" i="41"/>
  <c r="G27" i="43"/>
  <c r="I27" i="43" s="1"/>
  <c r="H29" i="39"/>
  <c r="I29" i="39" s="1"/>
  <c r="E34" i="27"/>
  <c r="G33" i="27"/>
  <c r="H33" i="27"/>
  <c r="D34" i="27"/>
  <c r="D30" i="45"/>
  <c r="E30" i="45" s="1"/>
  <c r="I28" i="41"/>
  <c r="G39" i="11"/>
  <c r="H39" i="11"/>
  <c r="I39" i="11" s="1"/>
  <c r="D40" i="11"/>
  <c r="E40" i="11"/>
  <c r="D39" i="6"/>
  <c r="H38" i="6"/>
  <c r="G38" i="6"/>
  <c r="E39" i="6"/>
  <c r="D29" i="42"/>
  <c r="E29" i="42"/>
  <c r="G32" i="29"/>
  <c r="D33" i="29"/>
  <c r="H32" i="29"/>
  <c r="E33" i="29"/>
  <c r="I30" i="37"/>
  <c r="G38" i="8"/>
  <c r="D39" i="8"/>
  <c r="H38" i="8"/>
  <c r="E39" i="8"/>
  <c r="D30" i="38"/>
  <c r="E30" i="38"/>
  <c r="F30" i="13"/>
  <c r="H30" i="13" s="1"/>
  <c r="B30" i="13"/>
  <c r="F40" i="9"/>
  <c r="B40" i="9"/>
  <c r="H37" i="4"/>
  <c r="D38" i="4"/>
  <c r="G37" i="4"/>
  <c r="E38" i="4"/>
  <c r="D33" i="31"/>
  <c r="H32" i="31"/>
  <c r="G32" i="31"/>
  <c r="E33" i="31"/>
  <c r="D33" i="28"/>
  <c r="G32" i="28"/>
  <c r="H32" i="28"/>
  <c r="E33" i="28"/>
  <c r="J110" i="45"/>
  <c r="D38" i="5"/>
  <c r="H37" i="5"/>
  <c r="G37" i="5"/>
  <c r="E38" i="5"/>
  <c r="G29" i="45"/>
  <c r="H34" i="24"/>
  <c r="G34" i="24"/>
  <c r="D35" i="24"/>
  <c r="E35" i="24"/>
  <c r="G41" i="10"/>
  <c r="D42" i="10"/>
  <c r="E42" i="10" s="1"/>
  <c r="H41" i="10"/>
  <c r="D41" i="7"/>
  <c r="G40" i="7"/>
  <c r="H40" i="7"/>
  <c r="E41" i="7"/>
  <c r="D36" i="23"/>
  <c r="H35" i="23"/>
  <c r="G35" i="23"/>
  <c r="E36" i="23"/>
  <c r="D30" i="39"/>
  <c r="E30" i="39"/>
  <c r="E31" i="37"/>
  <c r="D31" i="37"/>
  <c r="H29" i="38"/>
  <c r="H37" i="3"/>
  <c r="D38" i="3"/>
  <c r="G37" i="3"/>
  <c r="E38" i="3"/>
  <c r="D28" i="43"/>
  <c r="E28" i="43"/>
  <c r="H31" i="30"/>
  <c r="D32" i="30"/>
  <c r="G31" i="30"/>
  <c r="E32" i="30"/>
  <c r="I39" i="9"/>
  <c r="E111" i="46"/>
  <c r="F111" i="46" s="1"/>
  <c r="B111" i="46"/>
  <c r="D29" i="40"/>
  <c r="E29" i="40"/>
  <c r="H36" i="22"/>
  <c r="D37" i="22"/>
  <c r="G36" i="22"/>
  <c r="E37" i="22"/>
  <c r="H29" i="45"/>
  <c r="I29" i="45" s="1"/>
  <c r="H28" i="42"/>
  <c r="I28" i="42" s="1"/>
  <c r="G28" i="40"/>
  <c r="I28" i="40" s="1"/>
  <c r="D29" i="41"/>
  <c r="E29" i="41"/>
  <c r="H36" i="25"/>
  <c r="D37" i="25"/>
  <c r="G36" i="25"/>
  <c r="E37" i="25"/>
  <c r="F29" i="46"/>
  <c r="G29" i="46" s="1"/>
  <c r="B29" i="46"/>
  <c r="G29" i="38"/>
  <c r="H110" i="46"/>
  <c r="I110" i="46"/>
  <c r="G111" i="45"/>
  <c r="D112" i="45"/>
  <c r="J110" i="13"/>
  <c r="G111" i="13"/>
  <c r="D112" i="13"/>
  <c r="E112" i="13" s="1"/>
  <c r="G110" i="44"/>
  <c r="D111" i="44"/>
  <c r="E111" i="44" s="1"/>
  <c r="J109" i="44"/>
  <c r="I32" i="28" l="1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B34" i="27"/>
  <c r="I37" i="4"/>
  <c r="J110" i="46"/>
  <c r="B38" i="3"/>
  <c r="F38" i="3"/>
  <c r="F30" i="39"/>
  <c r="H30" i="39" s="1"/>
  <c r="B30" i="39"/>
  <c r="F30" i="38"/>
  <c r="H30" i="38" s="1"/>
  <c r="B30" i="38"/>
  <c r="B37" i="25"/>
  <c r="F37" i="25"/>
  <c r="G111" i="46"/>
  <c r="D112" i="46"/>
  <c r="F28" i="43"/>
  <c r="H28" i="43" s="1"/>
  <c r="B28" i="43"/>
  <c r="I41" i="10"/>
  <c r="F38" i="5"/>
  <c r="B38" i="5"/>
  <c r="I32" i="31"/>
  <c r="D31" i="13"/>
  <c r="E31" i="13" s="1"/>
  <c r="B40" i="11"/>
  <c r="F40" i="11"/>
  <c r="B36" i="23"/>
  <c r="F36" i="23"/>
  <c r="D30" i="46"/>
  <c r="E30" i="46" s="1"/>
  <c r="I36" i="25"/>
  <c r="B32" i="30"/>
  <c r="F32" i="30"/>
  <c r="I29" i="38"/>
  <c r="F42" i="10"/>
  <c r="B42" i="10"/>
  <c r="B35" i="24"/>
  <c r="F35" i="24"/>
  <c r="F33" i="28"/>
  <c r="B33" i="28"/>
  <c r="F33" i="31"/>
  <c r="B33" i="31"/>
  <c r="G40" i="9"/>
  <c r="E41" i="9"/>
  <c r="H40" i="9"/>
  <c r="D41" i="9"/>
  <c r="G30" i="13"/>
  <c r="I30" i="13" s="1"/>
  <c r="I38" i="8"/>
  <c r="I38" i="6"/>
  <c r="F30" i="45"/>
  <c r="G30" i="45" s="1"/>
  <c r="B30" i="45"/>
  <c r="B29" i="41"/>
  <c r="F29" i="41"/>
  <c r="F41" i="7"/>
  <c r="B41" i="7"/>
  <c r="B33" i="29"/>
  <c r="F33" i="29"/>
  <c r="B37" i="22"/>
  <c r="F37" i="22"/>
  <c r="F29" i="40"/>
  <c r="H29" i="40" s="1"/>
  <c r="B29" i="40"/>
  <c r="I31" i="30"/>
  <c r="F31" i="37"/>
  <c r="H31" i="37" s="1"/>
  <c r="B31" i="37"/>
  <c r="I35" i="23"/>
  <c r="B38" i="4"/>
  <c r="F38" i="4"/>
  <c r="F39" i="8"/>
  <c r="B39" i="8"/>
  <c r="I32" i="29"/>
  <c r="B29" i="42"/>
  <c r="F29" i="42"/>
  <c r="G29" i="42" s="1"/>
  <c r="F39" i="6"/>
  <c r="B39" i="6"/>
  <c r="I111" i="45"/>
  <c r="H111" i="45"/>
  <c r="E112" i="45"/>
  <c r="F112" i="45" s="1"/>
  <c r="B112" i="45"/>
  <c r="I110" i="44"/>
  <c r="H110" i="44"/>
  <c r="B112" i="13"/>
  <c r="F112" i="13"/>
  <c r="B111" i="44"/>
  <c r="F111" i="44"/>
  <c r="I111" i="13"/>
  <c r="H111" i="13"/>
  <c r="G30" i="44" l="1"/>
  <c r="H30" i="44"/>
  <c r="I30" i="44" s="1"/>
  <c r="D31" i="44"/>
  <c r="G29" i="40"/>
  <c r="I29" i="40" s="1"/>
  <c r="G34" i="27"/>
  <c r="E35" i="27"/>
  <c r="H34" i="27"/>
  <c r="D35" i="27"/>
  <c r="D38" i="22"/>
  <c r="G37" i="22"/>
  <c r="H37" i="22"/>
  <c r="E38" i="22"/>
  <c r="G33" i="28"/>
  <c r="D34" i="28"/>
  <c r="H33" i="28"/>
  <c r="E34" i="28"/>
  <c r="E43" i="10"/>
  <c r="G42" i="10"/>
  <c r="D43" i="10"/>
  <c r="H42" i="10"/>
  <c r="D38" i="25"/>
  <c r="G37" i="25"/>
  <c r="H37" i="25"/>
  <c r="E38" i="25"/>
  <c r="D30" i="42"/>
  <c r="E30" i="42"/>
  <c r="D32" i="37"/>
  <c r="E32" i="37"/>
  <c r="H41" i="7"/>
  <c r="D42" i="7"/>
  <c r="E42" i="7" s="1"/>
  <c r="G41" i="7"/>
  <c r="B41" i="9"/>
  <c r="F41" i="9"/>
  <c r="G35" i="24"/>
  <c r="D36" i="24"/>
  <c r="H35" i="24"/>
  <c r="E36" i="24"/>
  <c r="B31" i="13"/>
  <c r="F31" i="13"/>
  <c r="H31" i="13" s="1"/>
  <c r="D29" i="43"/>
  <c r="E29" i="43"/>
  <c r="D31" i="38"/>
  <c r="E31" i="38"/>
  <c r="D31" i="39"/>
  <c r="E31" i="39"/>
  <c r="D30" i="41"/>
  <c r="E30" i="41"/>
  <c r="D31" i="45"/>
  <c r="E31" i="45" s="1"/>
  <c r="G36" i="23"/>
  <c r="D37" i="23"/>
  <c r="H36" i="23"/>
  <c r="E37" i="23"/>
  <c r="D39" i="5"/>
  <c r="H38" i="5"/>
  <c r="G38" i="5"/>
  <c r="E39" i="5"/>
  <c r="D40" i="8"/>
  <c r="G39" i="8"/>
  <c r="H39" i="8"/>
  <c r="E40" i="8"/>
  <c r="G31" i="37"/>
  <c r="I31" i="37" s="1"/>
  <c r="H33" i="29"/>
  <c r="D34" i="29"/>
  <c r="G33" i="29"/>
  <c r="E34" i="29"/>
  <c r="H29" i="41"/>
  <c r="I40" i="9"/>
  <c r="D34" i="31"/>
  <c r="G33" i="31"/>
  <c r="H33" i="31"/>
  <c r="E34" i="31"/>
  <c r="G32" i="30"/>
  <c r="H32" i="30"/>
  <c r="D33" i="30"/>
  <c r="E33" i="30"/>
  <c r="F30" i="46"/>
  <c r="H30" i="46" s="1"/>
  <c r="B30" i="46"/>
  <c r="H40" i="11"/>
  <c r="D41" i="11"/>
  <c r="G40" i="11"/>
  <c r="E41" i="11"/>
  <c r="E112" i="46"/>
  <c r="F112" i="46" s="1"/>
  <c r="B112" i="46"/>
  <c r="G38" i="3"/>
  <c r="H38" i="3"/>
  <c r="D39" i="3"/>
  <c r="E39" i="3"/>
  <c r="H39" i="6"/>
  <c r="G39" i="6"/>
  <c r="D40" i="6"/>
  <c r="E40" i="6"/>
  <c r="H29" i="42"/>
  <c r="I29" i="42" s="1"/>
  <c r="G38" i="4"/>
  <c r="H38" i="4"/>
  <c r="D39" i="4"/>
  <c r="E39" i="4"/>
  <c r="D30" i="40"/>
  <c r="E30" i="40"/>
  <c r="G29" i="41"/>
  <c r="H30" i="45"/>
  <c r="I30" i="45" s="1"/>
  <c r="G28" i="43"/>
  <c r="I28" i="43" s="1"/>
  <c r="H111" i="46"/>
  <c r="I111" i="46"/>
  <c r="G30" i="38"/>
  <c r="I30" i="38" s="1"/>
  <c r="G30" i="39"/>
  <c r="I30" i="39" s="1"/>
  <c r="D113" i="45"/>
  <c r="G112" i="45"/>
  <c r="J111" i="45"/>
  <c r="J110" i="44"/>
  <c r="G111" i="44"/>
  <c r="D112" i="44"/>
  <c r="J111" i="13"/>
  <c r="G112" i="13"/>
  <c r="D113" i="13"/>
  <c r="E113" i="13" s="1"/>
  <c r="E31" i="44" l="1"/>
  <c r="F31" i="44" s="1"/>
  <c r="B31" i="44"/>
  <c r="I41" i="7"/>
  <c r="I38" i="3"/>
  <c r="I35" i="24"/>
  <c r="I40" i="11"/>
  <c r="I38" i="5"/>
  <c r="F35" i="27"/>
  <c r="B35" i="27"/>
  <c r="I32" i="30"/>
  <c r="I37" i="25"/>
  <c r="I33" i="28"/>
  <c r="I37" i="22"/>
  <c r="I34" i="27"/>
  <c r="J111" i="46"/>
  <c r="G112" i="46"/>
  <c r="D113" i="46"/>
  <c r="B113" i="46" s="1"/>
  <c r="I39" i="6"/>
  <c r="D31" i="46"/>
  <c r="F34" i="31"/>
  <c r="B34" i="31"/>
  <c r="B39" i="5"/>
  <c r="F39" i="5"/>
  <c r="B30" i="41"/>
  <c r="F30" i="41"/>
  <c r="G30" i="41" s="1"/>
  <c r="B31" i="38"/>
  <c r="F31" i="38"/>
  <c r="G31" i="38" s="1"/>
  <c r="D32" i="13"/>
  <c r="E32" i="13" s="1"/>
  <c r="B30" i="42"/>
  <c r="F30" i="42"/>
  <c r="H30" i="42" s="1"/>
  <c r="B34" i="28"/>
  <c r="F34" i="28"/>
  <c r="F30" i="40"/>
  <c r="B30" i="40"/>
  <c r="F41" i="11"/>
  <c r="B41" i="11"/>
  <c r="F40" i="8"/>
  <c r="B40" i="8"/>
  <c r="B42" i="7"/>
  <c r="F42" i="7"/>
  <c r="F39" i="4"/>
  <c r="B39" i="4"/>
  <c r="G30" i="46"/>
  <c r="I30" i="46" s="1"/>
  <c r="F34" i="29"/>
  <c r="B34" i="29"/>
  <c r="I39" i="8"/>
  <c r="G31" i="13"/>
  <c r="I31" i="13" s="1"/>
  <c r="B36" i="24"/>
  <c r="F36" i="24"/>
  <c r="F38" i="25"/>
  <c r="B38" i="25"/>
  <c r="B38" i="22"/>
  <c r="F38" i="22"/>
  <c r="F37" i="23"/>
  <c r="B37" i="23"/>
  <c r="G41" i="9"/>
  <c r="D42" i="9"/>
  <c r="E42" i="9" s="1"/>
  <c r="H41" i="9"/>
  <c r="B43" i="10"/>
  <c r="F43" i="10"/>
  <c r="I38" i="4"/>
  <c r="B40" i="6"/>
  <c r="F40" i="6"/>
  <c r="F39" i="3"/>
  <c r="B39" i="3"/>
  <c r="F33" i="30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H112" i="45"/>
  <c r="I112" i="45"/>
  <c r="E113" i="45"/>
  <c r="F113" i="45" s="1"/>
  <c r="B113" i="45"/>
  <c r="I112" i="13"/>
  <c r="H112" i="13"/>
  <c r="B112" i="44"/>
  <c r="E112" i="44"/>
  <c r="F112" i="44" s="1"/>
  <c r="B113" i="13"/>
  <c r="F113" i="13"/>
  <c r="H111" i="44"/>
  <c r="I111" i="44"/>
  <c r="D32" i="44" l="1"/>
  <c r="H31" i="44"/>
  <c r="G31" i="44"/>
  <c r="H31" i="38"/>
  <c r="G31" i="45"/>
  <c r="H35" i="27"/>
  <c r="D36" i="27"/>
  <c r="G35" i="27"/>
  <c r="E113" i="46"/>
  <c r="F113" i="46" s="1"/>
  <c r="G113" i="46" s="1"/>
  <c r="I113" i="46" s="1"/>
  <c r="D33" i="37"/>
  <c r="E33" i="37"/>
  <c r="D40" i="3"/>
  <c r="G39" i="3"/>
  <c r="H39" i="3"/>
  <c r="I39" i="3" s="1"/>
  <c r="E40" i="3"/>
  <c r="D31" i="40"/>
  <c r="E31" i="40"/>
  <c r="G29" i="43"/>
  <c r="I29" i="43" s="1"/>
  <c r="D32" i="39"/>
  <c r="E32" i="39"/>
  <c r="I31" i="45"/>
  <c r="H40" i="6"/>
  <c r="D41" i="6"/>
  <c r="E41" i="6" s="1"/>
  <c r="G40" i="6"/>
  <c r="G38" i="25"/>
  <c r="H38" i="25"/>
  <c r="I38" i="25" s="1"/>
  <c r="D39" i="25"/>
  <c r="E39" i="25"/>
  <c r="G30" i="40"/>
  <c r="G30" i="42"/>
  <c r="I30" i="42" s="1"/>
  <c r="D35" i="31"/>
  <c r="G34" i="31"/>
  <c r="H34" i="31"/>
  <c r="E35" i="31"/>
  <c r="D44" i="10"/>
  <c r="E44" i="10"/>
  <c r="H43" i="10"/>
  <c r="G43" i="10"/>
  <c r="F32" i="13"/>
  <c r="H32" i="13" s="1"/>
  <c r="B32" i="13"/>
  <c r="J112" i="45"/>
  <c r="H32" i="37"/>
  <c r="H31" i="39"/>
  <c r="I31" i="39" s="1"/>
  <c r="G33" i="30"/>
  <c r="D34" i="30"/>
  <c r="H33" i="30"/>
  <c r="E34" i="30"/>
  <c r="I41" i="9"/>
  <c r="G38" i="22"/>
  <c r="H38" i="22"/>
  <c r="I38" i="22" s="1"/>
  <c r="D39" i="22"/>
  <c r="E39" i="22"/>
  <c r="G36" i="24"/>
  <c r="D37" i="24"/>
  <c r="H36" i="24"/>
  <c r="I36" i="24" s="1"/>
  <c r="E37" i="24"/>
  <c r="H39" i="4"/>
  <c r="G39" i="4"/>
  <c r="D40" i="4"/>
  <c r="E40" i="4" s="1"/>
  <c r="G40" i="8"/>
  <c r="D41" i="8"/>
  <c r="E41" i="8" s="1"/>
  <c r="H40" i="8"/>
  <c r="I40" i="8" s="1"/>
  <c r="H34" i="28"/>
  <c r="G34" i="28"/>
  <c r="D35" i="28"/>
  <c r="E35" i="28"/>
  <c r="I31" i="38"/>
  <c r="D31" i="41"/>
  <c r="E31" i="41"/>
  <c r="D40" i="5"/>
  <c r="G39" i="5"/>
  <c r="H39" i="5"/>
  <c r="E40" i="5"/>
  <c r="B31" i="46"/>
  <c r="D30" i="43"/>
  <c r="E30" i="43"/>
  <c r="H37" i="23"/>
  <c r="D38" i="23"/>
  <c r="G37" i="23"/>
  <c r="E38" i="23"/>
  <c r="G41" i="11"/>
  <c r="H41" i="11"/>
  <c r="D42" i="11"/>
  <c r="E42" i="11" s="1"/>
  <c r="D31" i="42"/>
  <c r="E31" i="42"/>
  <c r="G32" i="37"/>
  <c r="D32" i="45"/>
  <c r="B42" i="9"/>
  <c r="F42" i="9"/>
  <c r="G34" i="29"/>
  <c r="D35" i="29"/>
  <c r="H34" i="29"/>
  <c r="E35" i="29"/>
  <c r="D43" i="7"/>
  <c r="G42" i="7"/>
  <c r="H42" i="7"/>
  <c r="E43" i="7"/>
  <c r="H30" i="40"/>
  <c r="D32" i="38"/>
  <c r="E32" i="38"/>
  <c r="H30" i="41"/>
  <c r="I30" i="41" s="1"/>
  <c r="E31" i="46"/>
  <c r="F31" i="46" s="1"/>
  <c r="I112" i="46"/>
  <c r="H112" i="46"/>
  <c r="G113" i="45"/>
  <c r="D114" i="45"/>
  <c r="J112" i="13"/>
  <c r="J111" i="44"/>
  <c r="G112" i="44"/>
  <c r="D113" i="44"/>
  <c r="G113" i="13"/>
  <c r="D114" i="13"/>
  <c r="H113" i="46"/>
  <c r="I34" i="29" l="1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D114" i="46"/>
  <c r="J112" i="46"/>
  <c r="D32" i="46"/>
  <c r="E32" i="46" s="1"/>
  <c r="H31" i="46"/>
  <c r="G31" i="46"/>
  <c r="F41" i="6"/>
  <c r="B41" i="6"/>
  <c r="B32" i="38"/>
  <c r="F32" i="38"/>
  <c r="H32" i="38" s="1"/>
  <c r="B35" i="29"/>
  <c r="F35" i="29"/>
  <c r="B32" i="45"/>
  <c r="B38" i="23"/>
  <c r="F38" i="23"/>
  <c r="I34" i="28"/>
  <c r="I39" i="4"/>
  <c r="B34" i="30"/>
  <c r="F34" i="30"/>
  <c r="D33" i="13"/>
  <c r="E33" i="13" s="1"/>
  <c r="B44" i="10"/>
  <c r="F44" i="10"/>
  <c r="F33" i="37"/>
  <c r="G33" i="37" s="1"/>
  <c r="B33" i="37"/>
  <c r="B30" i="43"/>
  <c r="F30" i="43"/>
  <c r="H30" i="43" s="1"/>
  <c r="F31" i="41"/>
  <c r="B31" i="41"/>
  <c r="B37" i="24"/>
  <c r="F37" i="24"/>
  <c r="B32" i="39"/>
  <c r="F32" i="39"/>
  <c r="G32" i="39" s="1"/>
  <c r="B43" i="7"/>
  <c r="F43" i="7"/>
  <c r="E32" i="45"/>
  <c r="F32" i="45" s="1"/>
  <c r="F31" i="42"/>
  <c r="H31" i="42" s="1"/>
  <c r="B31" i="42"/>
  <c r="I37" i="23"/>
  <c r="B40" i="5"/>
  <c r="F40" i="5"/>
  <c r="G32" i="13"/>
  <c r="I32" i="13" s="1"/>
  <c r="B42" i="11"/>
  <c r="F42" i="11"/>
  <c r="F41" i="8"/>
  <c r="B41" i="8"/>
  <c r="D43" i="9"/>
  <c r="E43" i="9" s="1"/>
  <c r="H42" i="9"/>
  <c r="G42" i="9"/>
  <c r="B35" i="28"/>
  <c r="F35" i="28"/>
  <c r="F40" i="4"/>
  <c r="B40" i="4"/>
  <c r="B39" i="22"/>
  <c r="F39" i="22"/>
  <c r="B35" i="31"/>
  <c r="F35" i="31"/>
  <c r="F39" i="25"/>
  <c r="B39" i="25"/>
  <c r="F31" i="40"/>
  <c r="B31" i="40"/>
  <c r="B40" i="3"/>
  <c r="F40" i="3"/>
  <c r="E114" i="45"/>
  <c r="F114" i="45" s="1"/>
  <c r="B114" i="45"/>
  <c r="H113" i="45"/>
  <c r="I113" i="45"/>
  <c r="J113" i="46"/>
  <c r="B114" i="13"/>
  <c r="H113" i="13"/>
  <c r="I113" i="13"/>
  <c r="B113" i="44"/>
  <c r="I112" i="44"/>
  <c r="H112" i="44"/>
  <c r="E114" i="13"/>
  <c r="F114" i="13" s="1"/>
  <c r="E113" i="44"/>
  <c r="F113" i="44" s="1"/>
  <c r="G32" i="44" l="1"/>
  <c r="D33" i="44"/>
  <c r="H32" i="44"/>
  <c r="I32" i="44" s="1"/>
  <c r="G32" i="38"/>
  <c r="I32" i="38" s="1"/>
  <c r="H36" i="27"/>
  <c r="G36" i="27"/>
  <c r="D37" i="27"/>
  <c r="G31" i="42"/>
  <c r="I31" i="42" s="1"/>
  <c r="E114" i="46"/>
  <c r="F114" i="46" s="1"/>
  <c r="B114" i="46"/>
  <c r="D33" i="45"/>
  <c r="G32" i="45"/>
  <c r="H32" i="45"/>
  <c r="D32" i="41"/>
  <c r="E32" i="41"/>
  <c r="D32" i="40"/>
  <c r="E32" i="40"/>
  <c r="D41" i="4"/>
  <c r="H40" i="4"/>
  <c r="G40" i="4"/>
  <c r="E41" i="4"/>
  <c r="I42" i="9"/>
  <c r="H41" i="8"/>
  <c r="D42" i="8"/>
  <c r="E42" i="8" s="1"/>
  <c r="G41" i="8"/>
  <c r="G40" i="5"/>
  <c r="H40" i="5"/>
  <c r="D41" i="5"/>
  <c r="E41" i="5" s="1"/>
  <c r="H43" i="7"/>
  <c r="G43" i="7"/>
  <c r="D44" i="7"/>
  <c r="E44" i="7"/>
  <c r="D33" i="39"/>
  <c r="E33" i="39"/>
  <c r="G31" i="41"/>
  <c r="D34" i="37"/>
  <c r="E34" i="37"/>
  <c r="I31" i="46"/>
  <c r="F33" i="13"/>
  <c r="G33" i="13" s="1"/>
  <c r="B33" i="13"/>
  <c r="H31" i="40"/>
  <c r="H39" i="22"/>
  <c r="D40" i="22"/>
  <c r="E40" i="22" s="1"/>
  <c r="G39" i="22"/>
  <c r="D36" i="28"/>
  <c r="G35" i="28"/>
  <c r="H35" i="28"/>
  <c r="E36" i="28"/>
  <c r="B43" i="9"/>
  <c r="F43" i="9"/>
  <c r="G42" i="11"/>
  <c r="H42" i="11"/>
  <c r="D43" i="11"/>
  <c r="E43" i="11" s="1"/>
  <c r="H31" i="41"/>
  <c r="D45" i="10"/>
  <c r="H44" i="10"/>
  <c r="G44" i="10"/>
  <c r="E45" i="10"/>
  <c r="D35" i="30"/>
  <c r="G34" i="30"/>
  <c r="H34" i="30"/>
  <c r="E35" i="30"/>
  <c r="D39" i="23"/>
  <c r="E39" i="23" s="1"/>
  <c r="G38" i="23"/>
  <c r="H38" i="23"/>
  <c r="D41" i="3"/>
  <c r="E41" i="3" s="1"/>
  <c r="G40" i="3"/>
  <c r="H40" i="3"/>
  <c r="D36" i="31"/>
  <c r="G35" i="31"/>
  <c r="H35" i="31"/>
  <c r="E36" i="31"/>
  <c r="H37" i="24"/>
  <c r="D38" i="24"/>
  <c r="G37" i="24"/>
  <c r="E38" i="24"/>
  <c r="D31" i="43"/>
  <c r="E31" i="43"/>
  <c r="H35" i="29"/>
  <c r="G35" i="29"/>
  <c r="D36" i="29"/>
  <c r="E36" i="29"/>
  <c r="G31" i="40"/>
  <c r="D40" i="25"/>
  <c r="E40" i="25" s="1"/>
  <c r="H39" i="25"/>
  <c r="G39" i="25"/>
  <c r="D32" i="42"/>
  <c r="E32" i="42"/>
  <c r="H32" i="39"/>
  <c r="I32" i="39" s="1"/>
  <c r="G30" i="43"/>
  <c r="I30" i="43" s="1"/>
  <c r="H33" i="37"/>
  <c r="I33" i="37" s="1"/>
  <c r="D33" i="38"/>
  <c r="E33" i="38"/>
  <c r="G41" i="6"/>
  <c r="H41" i="6"/>
  <c r="D42" i="6"/>
  <c r="E42" i="6" s="1"/>
  <c r="F32" i="46"/>
  <c r="G32" i="46" s="1"/>
  <c r="B32" i="46"/>
  <c r="J113" i="45"/>
  <c r="D115" i="45"/>
  <c r="E115" i="45" s="1"/>
  <c r="G114" i="45"/>
  <c r="J113" i="13"/>
  <c r="J112" i="44"/>
  <c r="G114" i="13"/>
  <c r="D115" i="13"/>
  <c r="E115" i="13" s="1"/>
  <c r="G113" i="44"/>
  <c r="D114" i="44"/>
  <c r="E33" i="44" l="1"/>
  <c r="F33" i="44" s="1"/>
  <c r="B33" i="44"/>
  <c r="I32" i="45"/>
  <c r="I41" i="6"/>
  <c r="I43" i="7"/>
  <c r="I39" i="25"/>
  <c r="I39" i="22"/>
  <c r="I37" i="24"/>
  <c r="H33" i="13"/>
  <c r="I33" i="13" s="1"/>
  <c r="H32" i="46"/>
  <c r="I32" i="46" s="1"/>
  <c r="I44" i="10"/>
  <c r="I31" i="41"/>
  <c r="I40" i="5"/>
  <c r="I41" i="8"/>
  <c r="B37" i="27"/>
  <c r="E37" i="27"/>
  <c r="F37" i="27" s="1"/>
  <c r="I36" i="27"/>
  <c r="D115" i="46"/>
  <c r="G114" i="46"/>
  <c r="F31" i="43"/>
  <c r="B31" i="43"/>
  <c r="B35" i="30"/>
  <c r="F35" i="30"/>
  <c r="F32" i="42"/>
  <c r="G32" i="42" s="1"/>
  <c r="B32" i="42"/>
  <c r="F40" i="25"/>
  <c r="B40" i="25"/>
  <c r="B43" i="11"/>
  <c r="F43" i="11"/>
  <c r="B36" i="28"/>
  <c r="F36" i="28"/>
  <c r="B34" i="37"/>
  <c r="F34" i="37"/>
  <c r="G34" i="37" s="1"/>
  <c r="I40" i="4"/>
  <c r="F33" i="38"/>
  <c r="H33" i="38" s="1"/>
  <c r="B33" i="38"/>
  <c r="B36" i="29"/>
  <c r="F36" i="29"/>
  <c r="F41" i="3"/>
  <c r="B41" i="3"/>
  <c r="F45" i="10"/>
  <c r="B45" i="10"/>
  <c r="G43" i="9"/>
  <c r="D44" i="9"/>
  <c r="E44" i="9" s="1"/>
  <c r="H43" i="9"/>
  <c r="B33" i="39"/>
  <c r="F33" i="39"/>
  <c r="G33" i="39" s="1"/>
  <c r="F42" i="8"/>
  <c r="B42" i="8"/>
  <c r="D33" i="46"/>
  <c r="I35" i="29"/>
  <c r="I35" i="31"/>
  <c r="I40" i="3"/>
  <c r="I38" i="23"/>
  <c r="I34" i="30"/>
  <c r="I42" i="11"/>
  <c r="I31" i="40"/>
  <c r="D34" i="13"/>
  <c r="E34" i="13" s="1"/>
  <c r="F44" i="7"/>
  <c r="B44" i="7"/>
  <c r="F41" i="4"/>
  <c r="B41" i="4"/>
  <c r="B32" i="41"/>
  <c r="F32" i="41"/>
  <c r="H32" i="41" s="1"/>
  <c r="B33" i="45"/>
  <c r="F42" i="6"/>
  <c r="B42" i="6"/>
  <c r="B36" i="31"/>
  <c r="F36" i="31"/>
  <c r="F39" i="23"/>
  <c r="B39" i="23"/>
  <c r="B40" i="22"/>
  <c r="F40" i="22"/>
  <c r="B32" i="40"/>
  <c r="F32" i="40"/>
  <c r="F38" i="24"/>
  <c r="B38" i="24"/>
  <c r="I35" i="28"/>
  <c r="F41" i="5"/>
  <c r="B41" i="5"/>
  <c r="E33" i="45"/>
  <c r="F33" i="45" s="1"/>
  <c r="B115" i="45"/>
  <c r="F115" i="45"/>
  <c r="H114" i="45"/>
  <c r="I114" i="45"/>
  <c r="B114" i="44"/>
  <c r="I113" i="44"/>
  <c r="H113" i="44"/>
  <c r="B115" i="13"/>
  <c r="F115" i="13"/>
  <c r="E114" i="44"/>
  <c r="F114" i="44" s="1"/>
  <c r="H114" i="13"/>
  <c r="I114" i="13"/>
  <c r="G33" i="38" l="1"/>
  <c r="D34" i="44"/>
  <c r="G33" i="44"/>
  <c r="H33" i="44"/>
  <c r="D38" i="27"/>
  <c r="E38" i="27"/>
  <c r="G37" i="27"/>
  <c r="H37" i="27"/>
  <c r="B115" i="46"/>
  <c r="E115" i="46"/>
  <c r="F115" i="46" s="1"/>
  <c r="H114" i="46"/>
  <c r="I114" i="46"/>
  <c r="J114" i="45"/>
  <c r="D34" i="45"/>
  <c r="E34" i="45" s="1"/>
  <c r="H33" i="45"/>
  <c r="G33" i="45"/>
  <c r="D33" i="40"/>
  <c r="E33" i="40"/>
  <c r="D37" i="31"/>
  <c r="E37" i="31" s="1"/>
  <c r="G36" i="31"/>
  <c r="H36" i="31"/>
  <c r="H36" i="28"/>
  <c r="G36" i="28"/>
  <c r="D37" i="28"/>
  <c r="E37" i="28"/>
  <c r="G32" i="40"/>
  <c r="D33" i="41"/>
  <c r="E33" i="41"/>
  <c r="H41" i="4"/>
  <c r="G41" i="4"/>
  <c r="D42" i="4"/>
  <c r="E42" i="4" s="1"/>
  <c r="B34" i="13"/>
  <c r="F34" i="13"/>
  <c r="G34" i="13" s="1"/>
  <c r="B33" i="46"/>
  <c r="D34" i="39"/>
  <c r="E34" i="39"/>
  <c r="I43" i="9"/>
  <c r="G36" i="29"/>
  <c r="D37" i="29"/>
  <c r="E37" i="29" s="1"/>
  <c r="H36" i="29"/>
  <c r="H34" i="37"/>
  <c r="I34" i="37" s="1"/>
  <c r="D41" i="25"/>
  <c r="E41" i="25" s="1"/>
  <c r="G40" i="25"/>
  <c r="H40" i="25"/>
  <c r="D33" i="42"/>
  <c r="E33" i="42"/>
  <c r="D32" i="43"/>
  <c r="E32" i="43"/>
  <c r="D41" i="22"/>
  <c r="E41" i="22" s="1"/>
  <c r="G40" i="22"/>
  <c r="H40" i="22"/>
  <c r="D43" i="8"/>
  <c r="E43" i="8" s="1"/>
  <c r="G42" i="8"/>
  <c r="H42" i="8"/>
  <c r="D39" i="24"/>
  <c r="E39" i="24" s="1"/>
  <c r="G38" i="24"/>
  <c r="H38" i="24"/>
  <c r="G32" i="41"/>
  <c r="I32" i="41" s="1"/>
  <c r="E33" i="46"/>
  <c r="F33" i="46" s="1"/>
  <c r="D46" i="10"/>
  <c r="H45" i="10"/>
  <c r="E46" i="10"/>
  <c r="G45" i="10"/>
  <c r="D34" i="38"/>
  <c r="E34" i="38"/>
  <c r="D44" i="11"/>
  <c r="E44" i="11" s="1"/>
  <c r="G43" i="11"/>
  <c r="H43" i="11"/>
  <c r="G35" i="30"/>
  <c r="D36" i="30"/>
  <c r="E36" i="30" s="1"/>
  <c r="H35" i="30"/>
  <c r="H31" i="43"/>
  <c r="H41" i="3"/>
  <c r="D42" i="3"/>
  <c r="G41" i="3"/>
  <c r="E42" i="3"/>
  <c r="D35" i="37"/>
  <c r="E35" i="37" s="1"/>
  <c r="H41" i="5"/>
  <c r="G41" i="5"/>
  <c r="D42" i="5"/>
  <c r="E42" i="5"/>
  <c r="H32" i="40"/>
  <c r="D40" i="23"/>
  <c r="E40" i="23" s="1"/>
  <c r="G39" i="23"/>
  <c r="H39" i="23"/>
  <c r="G42" i="6"/>
  <c r="D43" i="6"/>
  <c r="H42" i="6"/>
  <c r="E43" i="6"/>
  <c r="H44" i="7"/>
  <c r="D45" i="7"/>
  <c r="G44" i="7"/>
  <c r="E45" i="7"/>
  <c r="H33" i="39"/>
  <c r="I33" i="39" s="1"/>
  <c r="B44" i="9"/>
  <c r="F44" i="9"/>
  <c r="I33" i="38"/>
  <c r="H32" i="42"/>
  <c r="I32" i="42" s="1"/>
  <c r="G31" i="43"/>
  <c r="G115" i="45"/>
  <c r="D116" i="45"/>
  <c r="J113" i="44"/>
  <c r="G114" i="44"/>
  <c r="D115" i="44"/>
  <c r="D116" i="13"/>
  <c r="G115" i="13"/>
  <c r="J114" i="13"/>
  <c r="I33" i="44" l="1"/>
  <c r="E34" i="44"/>
  <c r="F34" i="44"/>
  <c r="B34" i="44"/>
  <c r="I36" i="29"/>
  <c r="I32" i="40"/>
  <c r="H34" i="13"/>
  <c r="I34" i="13" s="1"/>
  <c r="I37" i="27"/>
  <c r="I36" i="28"/>
  <c r="I41" i="3"/>
  <c r="I31" i="43"/>
  <c r="F38" i="27"/>
  <c r="B38" i="27"/>
  <c r="J114" i="46"/>
  <c r="G115" i="46"/>
  <c r="D116" i="46"/>
  <c r="D34" i="46"/>
  <c r="E34" i="46" s="1"/>
  <c r="H33" i="46"/>
  <c r="G33" i="46"/>
  <c r="I41" i="5"/>
  <c r="F44" i="11"/>
  <c r="B44" i="11"/>
  <c r="F39" i="24"/>
  <c r="B39" i="24"/>
  <c r="F43" i="8"/>
  <c r="B43" i="8"/>
  <c r="F41" i="22"/>
  <c r="B41" i="22"/>
  <c r="B33" i="42"/>
  <c r="F33" i="42"/>
  <c r="G33" i="42" s="1"/>
  <c r="F41" i="25"/>
  <c r="B41" i="25"/>
  <c r="F37" i="29"/>
  <c r="B37" i="29"/>
  <c r="F34" i="39"/>
  <c r="G34" i="39" s="1"/>
  <c r="B34" i="39"/>
  <c r="I41" i="4"/>
  <c r="B37" i="31"/>
  <c r="F37" i="31"/>
  <c r="I33" i="45"/>
  <c r="F40" i="23"/>
  <c r="B40" i="23"/>
  <c r="F36" i="30"/>
  <c r="B36" i="30"/>
  <c r="D45" i="9"/>
  <c r="E45" i="9"/>
  <c r="H44" i="9"/>
  <c r="G44" i="9"/>
  <c r="F45" i="7"/>
  <c r="B45" i="7"/>
  <c r="I42" i="6"/>
  <c r="I39" i="23"/>
  <c r="I45" i="10"/>
  <c r="D35" i="13"/>
  <c r="B37" i="28"/>
  <c r="F37" i="28"/>
  <c r="B35" i="37"/>
  <c r="F35" i="37"/>
  <c r="H35" i="37" s="1"/>
  <c r="I44" i="7"/>
  <c r="F43" i="6"/>
  <c r="B43" i="6"/>
  <c r="F42" i="5"/>
  <c r="B42" i="5"/>
  <c r="B42" i="3"/>
  <c r="F42" i="3"/>
  <c r="I35" i="30"/>
  <c r="I43" i="11"/>
  <c r="F34" i="38"/>
  <c r="G34" i="38" s="1"/>
  <c r="B34" i="38"/>
  <c r="B46" i="10"/>
  <c r="F46" i="10"/>
  <c r="I38" i="24"/>
  <c r="I42" i="8"/>
  <c r="I40" i="22"/>
  <c r="B32" i="43"/>
  <c r="F32" i="43"/>
  <c r="G32" i="43" s="1"/>
  <c r="I40" i="25"/>
  <c r="F42" i="4"/>
  <c r="B42" i="4"/>
  <c r="B33" i="41"/>
  <c r="F33" i="41"/>
  <c r="G33" i="41" s="1"/>
  <c r="I36" i="31"/>
  <c r="F33" i="40"/>
  <c r="B33" i="40"/>
  <c r="F34" i="45"/>
  <c r="G34" i="45" s="1"/>
  <c r="B34" i="45"/>
  <c r="I115" i="45"/>
  <c r="H115" i="45"/>
  <c r="E116" i="45"/>
  <c r="F116" i="45" s="1"/>
  <c r="B116" i="45"/>
  <c r="H115" i="13"/>
  <c r="I115" i="13"/>
  <c r="B115" i="44"/>
  <c r="B116" i="13"/>
  <c r="E115" i="44"/>
  <c r="F115" i="44" s="1"/>
  <c r="E116" i="13"/>
  <c r="F116" i="13" s="1"/>
  <c r="I114" i="44"/>
  <c r="H114" i="44"/>
  <c r="G34" i="44" l="1"/>
  <c r="D35" i="44"/>
  <c r="H34" i="44"/>
  <c r="I34" i="44" s="1"/>
  <c r="H33" i="41"/>
  <c r="I33" i="41" s="1"/>
  <c r="H34" i="38"/>
  <c r="D39" i="27"/>
  <c r="G38" i="27"/>
  <c r="H38" i="27"/>
  <c r="I44" i="9"/>
  <c r="H33" i="42"/>
  <c r="B116" i="46"/>
  <c r="E116" i="46"/>
  <c r="F116" i="46" s="1"/>
  <c r="I115" i="46"/>
  <c r="H115" i="46"/>
  <c r="I33" i="42"/>
  <c r="J115" i="45"/>
  <c r="D34" i="40"/>
  <c r="E34" i="40"/>
  <c r="H42" i="5"/>
  <c r="D43" i="5"/>
  <c r="E43" i="5" s="1"/>
  <c r="G42" i="5"/>
  <c r="D36" i="37"/>
  <c r="E36" i="37" s="1"/>
  <c r="G37" i="28"/>
  <c r="D38" i="28"/>
  <c r="H37" i="28"/>
  <c r="E38" i="28"/>
  <c r="D46" i="7"/>
  <c r="G45" i="7"/>
  <c r="H45" i="7"/>
  <c r="E46" i="7"/>
  <c r="B45" i="9"/>
  <c r="F45" i="9"/>
  <c r="H40" i="23"/>
  <c r="G40" i="23"/>
  <c r="D41" i="23"/>
  <c r="E41" i="23"/>
  <c r="H34" i="39"/>
  <c r="I34" i="39" s="1"/>
  <c r="I33" i="46"/>
  <c r="B35" i="13"/>
  <c r="H37" i="29"/>
  <c r="D38" i="29"/>
  <c r="G37" i="29"/>
  <c r="E38" i="29"/>
  <c r="H41" i="22"/>
  <c r="G41" i="22"/>
  <c r="D42" i="22"/>
  <c r="E42" i="22"/>
  <c r="D35" i="45"/>
  <c r="E35" i="45" s="1"/>
  <c r="D43" i="4"/>
  <c r="H42" i="4"/>
  <c r="G42" i="4"/>
  <c r="E43" i="4"/>
  <c r="H34" i="45"/>
  <c r="I34" i="45" s="1"/>
  <c r="H33" i="40"/>
  <c r="D34" i="41"/>
  <c r="E34" i="41"/>
  <c r="G46" i="10"/>
  <c r="H46" i="10"/>
  <c r="D47" i="10"/>
  <c r="E47" i="10" s="1"/>
  <c r="D35" i="38"/>
  <c r="E35" i="38" s="1"/>
  <c r="D43" i="3"/>
  <c r="E43" i="3" s="1"/>
  <c r="H42" i="3"/>
  <c r="G42" i="3"/>
  <c r="G35" i="37"/>
  <c r="I35" i="37" s="1"/>
  <c r="D42" i="25"/>
  <c r="E42" i="25" s="1"/>
  <c r="H41" i="25"/>
  <c r="G41" i="25"/>
  <c r="G43" i="8"/>
  <c r="H43" i="8"/>
  <c r="D44" i="8"/>
  <c r="E44" i="8"/>
  <c r="G44" i="11"/>
  <c r="H44" i="11"/>
  <c r="D45" i="11"/>
  <c r="E45" i="11"/>
  <c r="D33" i="43"/>
  <c r="E33" i="43"/>
  <c r="D35" i="39"/>
  <c r="E35" i="39"/>
  <c r="G39" i="24"/>
  <c r="D40" i="24"/>
  <c r="H39" i="24"/>
  <c r="E40" i="24"/>
  <c r="G33" i="40"/>
  <c r="H32" i="43"/>
  <c r="I32" i="43" s="1"/>
  <c r="I34" i="38"/>
  <c r="H43" i="6"/>
  <c r="G43" i="6"/>
  <c r="D44" i="6"/>
  <c r="E44" i="6" s="1"/>
  <c r="E35" i="13"/>
  <c r="F35" i="13" s="1"/>
  <c r="D37" i="30"/>
  <c r="E37" i="30" s="1"/>
  <c r="G36" i="30"/>
  <c r="H36" i="30"/>
  <c r="D38" i="31"/>
  <c r="E38" i="31" s="1"/>
  <c r="G37" i="31"/>
  <c r="H37" i="31"/>
  <c r="D34" i="42"/>
  <c r="E34" i="42" s="1"/>
  <c r="B34" i="46"/>
  <c r="F34" i="46"/>
  <c r="G34" i="46" s="1"/>
  <c r="D117" i="45"/>
  <c r="G116" i="45"/>
  <c r="J114" i="44"/>
  <c r="J115" i="13"/>
  <c r="D116" i="44"/>
  <c r="E116" i="44" s="1"/>
  <c r="G115" i="44"/>
  <c r="G116" i="13"/>
  <c r="D117" i="13"/>
  <c r="E117" i="13" s="1"/>
  <c r="I41" i="22" l="1"/>
  <c r="E35" i="44"/>
  <c r="F35" i="44" s="1"/>
  <c r="B35" i="44"/>
  <c r="H35" i="44"/>
  <c r="I41" i="25"/>
  <c r="I45" i="7"/>
  <c r="I38" i="27"/>
  <c r="I40" i="23"/>
  <c r="B39" i="27"/>
  <c r="I44" i="11"/>
  <c r="I43" i="8"/>
  <c r="E39" i="27"/>
  <c r="F39" i="27" s="1"/>
  <c r="J115" i="46"/>
  <c r="G116" i="46"/>
  <c r="D117" i="46"/>
  <c r="D36" i="13"/>
  <c r="E36" i="13" s="1"/>
  <c r="G35" i="13"/>
  <c r="H35" i="13"/>
  <c r="F44" i="6"/>
  <c r="B44" i="6"/>
  <c r="B35" i="38"/>
  <c r="F35" i="38"/>
  <c r="H35" i="38" s="1"/>
  <c r="B46" i="7"/>
  <c r="F46" i="7"/>
  <c r="B34" i="40"/>
  <c r="F34" i="40"/>
  <c r="F34" i="42"/>
  <c r="G34" i="42" s="1"/>
  <c r="B34" i="42"/>
  <c r="F38" i="31"/>
  <c r="B38" i="31"/>
  <c r="F37" i="30"/>
  <c r="B37" i="30"/>
  <c r="B33" i="43"/>
  <c r="F33" i="43"/>
  <c r="H33" i="43" s="1"/>
  <c r="F42" i="25"/>
  <c r="B42" i="25"/>
  <c r="I42" i="3"/>
  <c r="F47" i="10"/>
  <c r="B47" i="10"/>
  <c r="B38" i="29"/>
  <c r="F38" i="29"/>
  <c r="F36" i="37"/>
  <c r="H36" i="37" s="1"/>
  <c r="B36" i="37"/>
  <c r="B43" i="5"/>
  <c r="F43" i="5"/>
  <c r="D35" i="46"/>
  <c r="E35" i="46" s="1"/>
  <c r="B43" i="4"/>
  <c r="F43" i="4"/>
  <c r="H34" i="46"/>
  <c r="I34" i="46" s="1"/>
  <c r="I43" i="6"/>
  <c r="F43" i="3"/>
  <c r="B43" i="3"/>
  <c r="I46" i="10"/>
  <c r="B34" i="41"/>
  <c r="F34" i="41"/>
  <c r="B35" i="45"/>
  <c r="F35" i="45"/>
  <c r="G35" i="45" s="1"/>
  <c r="I37" i="29"/>
  <c r="I37" i="28"/>
  <c r="I42" i="5"/>
  <c r="F40" i="24"/>
  <c r="B40" i="24"/>
  <c r="F42" i="22"/>
  <c r="B42" i="22"/>
  <c r="B41" i="23"/>
  <c r="F41" i="23"/>
  <c r="I37" i="31"/>
  <c r="I36" i="30"/>
  <c r="I39" i="24"/>
  <c r="F35" i="39"/>
  <c r="B35" i="39"/>
  <c r="B45" i="11"/>
  <c r="F45" i="11"/>
  <c r="F44" i="8"/>
  <c r="B44" i="8"/>
  <c r="I33" i="40"/>
  <c r="I42" i="4"/>
  <c r="H45" i="9"/>
  <c r="D46" i="9"/>
  <c r="E46" i="9" s="1"/>
  <c r="G45" i="9"/>
  <c r="B38" i="28"/>
  <c r="F38" i="28"/>
  <c r="I116" i="45"/>
  <c r="H116" i="45"/>
  <c r="B117" i="45"/>
  <c r="E117" i="45"/>
  <c r="F117" i="45" s="1"/>
  <c r="I116" i="13"/>
  <c r="H116" i="13"/>
  <c r="H115" i="44"/>
  <c r="I115" i="44"/>
  <c r="B117" i="13"/>
  <c r="F117" i="13"/>
  <c r="F116" i="44"/>
  <c r="B116" i="44"/>
  <c r="G35" i="44" l="1"/>
  <c r="I35" i="44" s="1"/>
  <c r="D36" i="44"/>
  <c r="G36" i="37"/>
  <c r="I36" i="37" s="1"/>
  <c r="H34" i="42"/>
  <c r="D40" i="27"/>
  <c r="H39" i="27"/>
  <c r="G39" i="27"/>
  <c r="I35" i="13"/>
  <c r="E117" i="46"/>
  <c r="F117" i="46" s="1"/>
  <c r="B117" i="46"/>
  <c r="I116" i="46"/>
  <c r="H116" i="46"/>
  <c r="D46" i="11"/>
  <c r="G45" i="11"/>
  <c r="H45" i="11"/>
  <c r="E46" i="11"/>
  <c r="D35" i="41"/>
  <c r="E35" i="41"/>
  <c r="D35" i="40"/>
  <c r="E35" i="40"/>
  <c r="G46" i="7"/>
  <c r="H46" i="7"/>
  <c r="D47" i="7"/>
  <c r="E47" i="7"/>
  <c r="D36" i="39"/>
  <c r="E36" i="39"/>
  <c r="H41" i="23"/>
  <c r="G41" i="23"/>
  <c r="D42" i="23"/>
  <c r="E42" i="23"/>
  <c r="D39" i="29"/>
  <c r="E39" i="29" s="1"/>
  <c r="G38" i="29"/>
  <c r="H38" i="29"/>
  <c r="D34" i="43"/>
  <c r="E34" i="43"/>
  <c r="G37" i="30"/>
  <c r="D38" i="30"/>
  <c r="H37" i="30"/>
  <c r="I37" i="30" s="1"/>
  <c r="E38" i="30"/>
  <c r="D43" i="22"/>
  <c r="H42" i="22"/>
  <c r="G42" i="22"/>
  <c r="E43" i="22"/>
  <c r="H43" i="3"/>
  <c r="G43" i="3"/>
  <c r="D44" i="3"/>
  <c r="E44" i="3"/>
  <c r="G38" i="28"/>
  <c r="D39" i="28"/>
  <c r="H38" i="28"/>
  <c r="I38" i="28" s="1"/>
  <c r="E39" i="28"/>
  <c r="B46" i="9"/>
  <c r="F46" i="9"/>
  <c r="G35" i="39"/>
  <c r="H40" i="24"/>
  <c r="G40" i="24"/>
  <c r="D41" i="24"/>
  <c r="E41" i="24"/>
  <c r="D36" i="45"/>
  <c r="E36" i="45" s="1"/>
  <c r="H34" i="41"/>
  <c r="B35" i="46"/>
  <c r="F35" i="46"/>
  <c r="G35" i="46" s="1"/>
  <c r="G33" i="43"/>
  <c r="I33" i="43" s="1"/>
  <c r="I34" i="42"/>
  <c r="G34" i="40"/>
  <c r="D36" i="38"/>
  <c r="E36" i="38" s="1"/>
  <c r="G47" i="10"/>
  <c r="H47" i="10"/>
  <c r="E48" i="10"/>
  <c r="D48" i="10"/>
  <c r="I45" i="9"/>
  <c r="H44" i="8"/>
  <c r="G44" i="8"/>
  <c r="D45" i="8"/>
  <c r="E45" i="8"/>
  <c r="H35" i="39"/>
  <c r="H35" i="45"/>
  <c r="I35" i="45" s="1"/>
  <c r="G34" i="41"/>
  <c r="H43" i="4"/>
  <c r="I43" i="4" s="1"/>
  <c r="G43" i="4"/>
  <c r="D44" i="4"/>
  <c r="E44" i="4"/>
  <c r="G43" i="5"/>
  <c r="D44" i="5"/>
  <c r="H43" i="5"/>
  <c r="E44" i="5"/>
  <c r="D37" i="37"/>
  <c r="E37" i="37" s="1"/>
  <c r="G42" i="25"/>
  <c r="D43" i="25"/>
  <c r="E43" i="25" s="1"/>
  <c r="H42" i="25"/>
  <c r="I42" i="25" s="1"/>
  <c r="H38" i="31"/>
  <c r="D39" i="31"/>
  <c r="E39" i="31" s="1"/>
  <c r="G38" i="31"/>
  <c r="D35" i="42"/>
  <c r="E35" i="42"/>
  <c r="H34" i="40"/>
  <c r="G35" i="38"/>
  <c r="I35" i="38" s="1"/>
  <c r="G44" i="6"/>
  <c r="D45" i="6"/>
  <c r="E45" i="6" s="1"/>
  <c r="H44" i="6"/>
  <c r="B36" i="13"/>
  <c r="F36" i="13"/>
  <c r="G36" i="13" s="1"/>
  <c r="D118" i="45"/>
  <c r="B118" i="45" s="1"/>
  <c r="G117" i="45"/>
  <c r="J116" i="45"/>
  <c r="G117" i="13"/>
  <c r="D118" i="13"/>
  <c r="E118" i="13" s="1"/>
  <c r="D117" i="44"/>
  <c r="E117" i="44" s="1"/>
  <c r="G116" i="44"/>
  <c r="J115" i="44"/>
  <c r="J116" i="13"/>
  <c r="E36" i="44" l="1"/>
  <c r="F36" i="44" s="1"/>
  <c r="B36" i="44"/>
  <c r="G36" i="44"/>
  <c r="I46" i="7"/>
  <c r="I34" i="40"/>
  <c r="H36" i="13"/>
  <c r="I36" i="13" s="1"/>
  <c r="I45" i="11"/>
  <c r="I44" i="6"/>
  <c r="I47" i="10"/>
  <c r="I39" i="27"/>
  <c r="I34" i="41"/>
  <c r="B40" i="27"/>
  <c r="I41" i="23"/>
  <c r="I35" i="39"/>
  <c r="I44" i="8"/>
  <c r="I43" i="3"/>
  <c r="E40" i="27"/>
  <c r="F40" i="27" s="1"/>
  <c r="J116" i="46"/>
  <c r="D118" i="46"/>
  <c r="G117" i="46"/>
  <c r="E118" i="45"/>
  <c r="F118" i="45" s="1"/>
  <c r="G118" i="45" s="1"/>
  <c r="H118" i="45" s="1"/>
  <c r="F41" i="24"/>
  <c r="B41" i="24"/>
  <c r="G46" i="9"/>
  <c r="D47" i="9"/>
  <c r="E47" i="9"/>
  <c r="H46" i="9"/>
  <c r="B34" i="43"/>
  <c r="F34" i="43"/>
  <c r="H34" i="43" s="1"/>
  <c r="F47" i="7"/>
  <c r="B47" i="7"/>
  <c r="D37" i="13"/>
  <c r="E37" i="13" s="1"/>
  <c r="F45" i="6"/>
  <c r="B45" i="6"/>
  <c r="B39" i="31"/>
  <c r="F39" i="31"/>
  <c r="B43" i="25"/>
  <c r="F43" i="25"/>
  <c r="B45" i="8"/>
  <c r="F45" i="8"/>
  <c r="I42" i="22"/>
  <c r="F38" i="30"/>
  <c r="B38" i="30"/>
  <c r="B36" i="38"/>
  <c r="F36" i="38"/>
  <c r="G36" i="38" s="1"/>
  <c r="D36" i="46"/>
  <c r="B39" i="28"/>
  <c r="F39" i="28"/>
  <c r="F35" i="40"/>
  <c r="H35" i="40" s="1"/>
  <c r="B35" i="40"/>
  <c r="F35" i="42"/>
  <c r="H35" i="42" s="1"/>
  <c r="B35" i="42"/>
  <c r="I38" i="31"/>
  <c r="I43" i="5"/>
  <c r="B44" i="4"/>
  <c r="F44" i="4"/>
  <c r="H35" i="46"/>
  <c r="I35" i="46" s="1"/>
  <c r="F36" i="45"/>
  <c r="H36" i="45" s="1"/>
  <c r="B36" i="45"/>
  <c r="I40" i="24"/>
  <c r="B43" i="22"/>
  <c r="F43" i="22"/>
  <c r="I38" i="29"/>
  <c r="B42" i="23"/>
  <c r="F42" i="23"/>
  <c r="F36" i="39"/>
  <c r="G36" i="39" s="1"/>
  <c r="B36" i="39"/>
  <c r="B37" i="37"/>
  <c r="F37" i="37"/>
  <c r="H37" i="37" s="1"/>
  <c r="F44" i="3"/>
  <c r="B44" i="3"/>
  <c r="F39" i="29"/>
  <c r="B39" i="29"/>
  <c r="F44" i="5"/>
  <c r="B44" i="5"/>
  <c r="F48" i="10"/>
  <c r="B48" i="10"/>
  <c r="B35" i="41"/>
  <c r="F35" i="41"/>
  <c r="G35" i="41" s="1"/>
  <c r="B46" i="11"/>
  <c r="F46" i="11"/>
  <c r="H117" i="45"/>
  <c r="I117" i="45"/>
  <c r="F118" i="13"/>
  <c r="B118" i="13"/>
  <c r="H116" i="44"/>
  <c r="I116" i="44"/>
  <c r="H117" i="13"/>
  <c r="I117" i="13"/>
  <c r="B117" i="44"/>
  <c r="F117" i="44"/>
  <c r="D37" i="44" l="1"/>
  <c r="H36" i="44"/>
  <c r="I36" i="44" s="1"/>
  <c r="H35" i="41"/>
  <c r="I35" i="41" s="1"/>
  <c r="H36" i="39"/>
  <c r="I36" i="39" s="1"/>
  <c r="G34" i="43"/>
  <c r="I34" i="43" s="1"/>
  <c r="E41" i="27"/>
  <c r="G40" i="27"/>
  <c r="H40" i="27"/>
  <c r="D41" i="27"/>
  <c r="G37" i="37"/>
  <c r="I37" i="37" s="1"/>
  <c r="G36" i="45"/>
  <c r="I36" i="45" s="1"/>
  <c r="I117" i="46"/>
  <c r="H117" i="46"/>
  <c r="I118" i="45"/>
  <c r="J118" i="45" s="1"/>
  <c r="E118" i="46"/>
  <c r="F118" i="46" s="1"/>
  <c r="B118" i="46"/>
  <c r="D119" i="45"/>
  <c r="B36" i="46"/>
  <c r="G45" i="6"/>
  <c r="H45" i="6"/>
  <c r="D46" i="6"/>
  <c r="E46" i="6"/>
  <c r="B47" i="9"/>
  <c r="F47" i="9"/>
  <c r="D45" i="5"/>
  <c r="E45" i="5" s="1"/>
  <c r="G44" i="5"/>
  <c r="H44" i="5"/>
  <c r="G44" i="3"/>
  <c r="D45" i="3"/>
  <c r="E45" i="3" s="1"/>
  <c r="H44" i="3"/>
  <c r="D37" i="39"/>
  <c r="E37" i="39"/>
  <c r="H43" i="22"/>
  <c r="G43" i="22"/>
  <c r="D44" i="22"/>
  <c r="E44" i="22"/>
  <c r="G44" i="4"/>
  <c r="H44" i="4"/>
  <c r="D45" i="4"/>
  <c r="E45" i="4"/>
  <c r="G39" i="28"/>
  <c r="H39" i="28"/>
  <c r="D40" i="28"/>
  <c r="E40" i="28"/>
  <c r="D37" i="38"/>
  <c r="E37" i="38" s="1"/>
  <c r="D46" i="8"/>
  <c r="E46" i="8" s="1"/>
  <c r="G45" i="8"/>
  <c r="H45" i="8"/>
  <c r="H39" i="31"/>
  <c r="D40" i="31"/>
  <c r="G39" i="31"/>
  <c r="E40" i="31"/>
  <c r="G47" i="7"/>
  <c r="D48" i="7"/>
  <c r="H47" i="7"/>
  <c r="E48" i="7"/>
  <c r="D36" i="40"/>
  <c r="E36" i="40" s="1"/>
  <c r="D38" i="37"/>
  <c r="E38" i="37" s="1"/>
  <c r="D43" i="23"/>
  <c r="E43" i="23" s="1"/>
  <c r="H42" i="23"/>
  <c r="G42" i="23"/>
  <c r="G35" i="40"/>
  <c r="I35" i="40" s="1"/>
  <c r="B37" i="13"/>
  <c r="F37" i="13"/>
  <c r="I46" i="9"/>
  <c r="G46" i="11"/>
  <c r="H46" i="11"/>
  <c r="D47" i="11"/>
  <c r="E47" i="11"/>
  <c r="D36" i="42"/>
  <c r="E36" i="42" s="1"/>
  <c r="D36" i="41"/>
  <c r="E36" i="41"/>
  <c r="H48" i="10"/>
  <c r="D49" i="10"/>
  <c r="G48" i="10"/>
  <c r="E49" i="10"/>
  <c r="G39" i="29"/>
  <c r="D40" i="29"/>
  <c r="H39" i="29"/>
  <c r="E40" i="29"/>
  <c r="D37" i="45"/>
  <c r="G35" i="42"/>
  <c r="I35" i="42" s="1"/>
  <c r="E36" i="46"/>
  <c r="F36" i="46" s="1"/>
  <c r="H36" i="38"/>
  <c r="I36" i="38" s="1"/>
  <c r="G38" i="30"/>
  <c r="H38" i="30"/>
  <c r="D39" i="30"/>
  <c r="E39" i="30" s="1"/>
  <c r="D44" i="25"/>
  <c r="E44" i="25" s="1"/>
  <c r="G43" i="25"/>
  <c r="H43" i="25"/>
  <c r="D35" i="43"/>
  <c r="E35" i="43"/>
  <c r="G41" i="24"/>
  <c r="H41" i="24"/>
  <c r="D42" i="24"/>
  <c r="E42" i="24"/>
  <c r="J117" i="45"/>
  <c r="J117" i="13"/>
  <c r="J116" i="44"/>
  <c r="D118" i="44"/>
  <c r="G117" i="44"/>
  <c r="G118" i="13"/>
  <c r="D119" i="13"/>
  <c r="I43" i="22" l="1"/>
  <c r="E37" i="44"/>
  <c r="F37" i="44"/>
  <c r="B37" i="44"/>
  <c r="I39" i="31"/>
  <c r="I44" i="3"/>
  <c r="I45" i="8"/>
  <c r="I44" i="5"/>
  <c r="I40" i="27"/>
  <c r="I43" i="25"/>
  <c r="I42" i="23"/>
  <c r="I48" i="10"/>
  <c r="I46" i="11"/>
  <c r="F41" i="27"/>
  <c r="B41" i="27"/>
  <c r="G118" i="46"/>
  <c r="D119" i="46"/>
  <c r="B119" i="46" s="1"/>
  <c r="E119" i="45"/>
  <c r="F119" i="45" s="1"/>
  <c r="B119" i="45"/>
  <c r="J117" i="46"/>
  <c r="D37" i="46"/>
  <c r="H36" i="46"/>
  <c r="G36" i="46"/>
  <c r="D38" i="13"/>
  <c r="E38" i="13" s="1"/>
  <c r="B37" i="38"/>
  <c r="F37" i="38"/>
  <c r="H37" i="38" s="1"/>
  <c r="I38" i="30"/>
  <c r="F36" i="42"/>
  <c r="G36" i="42" s="1"/>
  <c r="B36" i="42"/>
  <c r="F43" i="23"/>
  <c r="B43" i="23"/>
  <c r="F45" i="3"/>
  <c r="B45" i="3"/>
  <c r="F36" i="40"/>
  <c r="G36" i="40" s="1"/>
  <c r="B36" i="40"/>
  <c r="F46" i="8"/>
  <c r="B46" i="8"/>
  <c r="B42" i="24"/>
  <c r="F42" i="24"/>
  <c r="F35" i="43"/>
  <c r="H35" i="43" s="1"/>
  <c r="B35" i="43"/>
  <c r="F44" i="25"/>
  <c r="B44" i="25"/>
  <c r="B37" i="45"/>
  <c r="I39" i="29"/>
  <c r="F36" i="41"/>
  <c r="G36" i="41" s="1"/>
  <c r="B36" i="41"/>
  <c r="H37" i="13"/>
  <c r="I47" i="7"/>
  <c r="F40" i="28"/>
  <c r="B40" i="28"/>
  <c r="F45" i="4"/>
  <c r="B45" i="4"/>
  <c r="F44" i="22"/>
  <c r="B44" i="22"/>
  <c r="F37" i="39"/>
  <c r="H37" i="39" s="1"/>
  <c r="B37" i="39"/>
  <c r="F45" i="5"/>
  <c r="B45" i="5"/>
  <c r="B46" i="6"/>
  <c r="F46" i="6"/>
  <c r="F39" i="30"/>
  <c r="B39" i="30"/>
  <c r="I41" i="24"/>
  <c r="E37" i="45"/>
  <c r="F37" i="45" s="1"/>
  <c r="B40" i="29"/>
  <c r="F40" i="29"/>
  <c r="F49" i="10"/>
  <c r="B49" i="10"/>
  <c r="F47" i="11"/>
  <c r="B47" i="11"/>
  <c r="G37" i="13"/>
  <c r="B38" i="37"/>
  <c r="F38" i="37"/>
  <c r="F48" i="7"/>
  <c r="B48" i="7"/>
  <c r="B40" i="31"/>
  <c r="F40" i="31"/>
  <c r="I39" i="28"/>
  <c r="I44" i="4"/>
  <c r="E48" i="9"/>
  <c r="G47" i="9"/>
  <c r="D48" i="9"/>
  <c r="H47" i="9"/>
  <c r="I45" i="6"/>
  <c r="B119" i="13"/>
  <c r="B118" i="44"/>
  <c r="E119" i="13"/>
  <c r="F119" i="13" s="1"/>
  <c r="H118" i="13"/>
  <c r="I118" i="13"/>
  <c r="I117" i="44"/>
  <c r="H117" i="44"/>
  <c r="E118" i="44"/>
  <c r="F118" i="44" s="1"/>
  <c r="H37" i="44" l="1"/>
  <c r="G37" i="44"/>
  <c r="I37" i="44" s="1"/>
  <c r="D38" i="44"/>
  <c r="G37" i="38"/>
  <c r="I37" i="38" s="1"/>
  <c r="G41" i="27"/>
  <c r="E42" i="27"/>
  <c r="H41" i="27"/>
  <c r="D42" i="27"/>
  <c r="G37" i="39"/>
  <c r="I37" i="39" s="1"/>
  <c r="G35" i="43"/>
  <c r="I35" i="43" s="1"/>
  <c r="D120" i="45"/>
  <c r="G119" i="45"/>
  <c r="E119" i="46"/>
  <c r="F119" i="46" s="1"/>
  <c r="I118" i="46"/>
  <c r="H118" i="46"/>
  <c r="D38" i="45"/>
  <c r="E38" i="45" s="1"/>
  <c r="H37" i="45"/>
  <c r="G37" i="45"/>
  <c r="D39" i="37"/>
  <c r="E39" i="37"/>
  <c r="G40" i="29"/>
  <c r="H40" i="29"/>
  <c r="D41" i="29"/>
  <c r="E41" i="29"/>
  <c r="G43" i="23"/>
  <c r="D44" i="23"/>
  <c r="E44" i="23" s="1"/>
  <c r="H43" i="23"/>
  <c r="J118" i="13"/>
  <c r="I47" i="9"/>
  <c r="G38" i="37"/>
  <c r="D48" i="11"/>
  <c r="E48" i="11" s="1"/>
  <c r="G47" i="11"/>
  <c r="H47" i="11"/>
  <c r="H39" i="30"/>
  <c r="D40" i="30"/>
  <c r="E40" i="30" s="1"/>
  <c r="G39" i="30"/>
  <c r="H45" i="5"/>
  <c r="D46" i="5"/>
  <c r="E46" i="5" s="1"/>
  <c r="G45" i="5"/>
  <c r="D38" i="39"/>
  <c r="E38" i="39"/>
  <c r="D46" i="4"/>
  <c r="E46" i="4" s="1"/>
  <c r="G45" i="4"/>
  <c r="H45" i="4"/>
  <c r="I37" i="13"/>
  <c r="G42" i="24"/>
  <c r="D43" i="24"/>
  <c r="H42" i="24"/>
  <c r="E43" i="24"/>
  <c r="I36" i="46"/>
  <c r="D37" i="41"/>
  <c r="E37" i="41"/>
  <c r="G44" i="25"/>
  <c r="H44" i="25"/>
  <c r="D45" i="25"/>
  <c r="E45" i="25"/>
  <c r="D47" i="8"/>
  <c r="H46" i="8"/>
  <c r="G46" i="8"/>
  <c r="E47" i="8"/>
  <c r="D37" i="40"/>
  <c r="E37" i="40"/>
  <c r="D37" i="42"/>
  <c r="E37" i="42"/>
  <c r="F48" i="9"/>
  <c r="B48" i="9"/>
  <c r="D49" i="7"/>
  <c r="E49" i="7" s="1"/>
  <c r="H48" i="7"/>
  <c r="G48" i="7"/>
  <c r="H46" i="6"/>
  <c r="D47" i="6"/>
  <c r="E47" i="6" s="1"/>
  <c r="G46" i="6"/>
  <c r="H36" i="40"/>
  <c r="I36" i="40" s="1"/>
  <c r="H45" i="3"/>
  <c r="D46" i="3"/>
  <c r="G45" i="3"/>
  <c r="E46" i="3"/>
  <c r="D38" i="38"/>
  <c r="E38" i="38"/>
  <c r="B37" i="46"/>
  <c r="D41" i="31"/>
  <c r="E41" i="31" s="1"/>
  <c r="G40" i="31"/>
  <c r="H40" i="31"/>
  <c r="H38" i="37"/>
  <c r="I38" i="37" s="1"/>
  <c r="D50" i="10"/>
  <c r="G49" i="10"/>
  <c r="H49" i="10"/>
  <c r="E50" i="10"/>
  <c r="D45" i="22"/>
  <c r="G44" i="22"/>
  <c r="H44" i="22"/>
  <c r="E45" i="22"/>
  <c r="H40" i="28"/>
  <c r="D41" i="28"/>
  <c r="G40" i="28"/>
  <c r="E41" i="28"/>
  <c r="H36" i="41"/>
  <c r="I36" i="41" s="1"/>
  <c r="D36" i="43"/>
  <c r="E36" i="43"/>
  <c r="H36" i="42"/>
  <c r="I36" i="42" s="1"/>
  <c r="B38" i="13"/>
  <c r="F38" i="13"/>
  <c r="G38" i="13" s="1"/>
  <c r="E37" i="46"/>
  <c r="F37" i="46" s="1"/>
  <c r="J117" i="44"/>
  <c r="G118" i="44"/>
  <c r="D119" i="44"/>
  <c r="E119" i="44" s="1"/>
  <c r="D120" i="13"/>
  <c r="G119" i="13"/>
  <c r="E38" i="44" l="1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B42" i="27"/>
  <c r="I43" i="23"/>
  <c r="I41" i="27"/>
  <c r="J118" i="46"/>
  <c r="D120" i="46"/>
  <c r="G119" i="46"/>
  <c r="H119" i="45"/>
  <c r="I119" i="45"/>
  <c r="E120" i="45"/>
  <c r="F120" i="45" s="1"/>
  <c r="B120" i="45"/>
  <c r="D38" i="46"/>
  <c r="E38" i="46" s="1"/>
  <c r="H37" i="46"/>
  <c r="G37" i="46"/>
  <c r="B46" i="3"/>
  <c r="F46" i="3"/>
  <c r="B40" i="30"/>
  <c r="F40" i="30"/>
  <c r="B41" i="28"/>
  <c r="F41" i="28"/>
  <c r="F38" i="38"/>
  <c r="H38" i="38" s="1"/>
  <c r="B38" i="38"/>
  <c r="I45" i="3"/>
  <c r="G48" i="9"/>
  <c r="D49" i="9"/>
  <c r="E49" i="9"/>
  <c r="H48" i="9"/>
  <c r="B37" i="40"/>
  <c r="F37" i="40"/>
  <c r="H37" i="40" s="1"/>
  <c r="B47" i="8"/>
  <c r="F47" i="8"/>
  <c r="B43" i="24"/>
  <c r="F43" i="24"/>
  <c r="B38" i="39"/>
  <c r="F38" i="39"/>
  <c r="H38" i="39" s="1"/>
  <c r="B48" i="11"/>
  <c r="F48" i="11"/>
  <c r="I37" i="45"/>
  <c r="B46" i="5"/>
  <c r="F46" i="5"/>
  <c r="F44" i="23"/>
  <c r="B44" i="23"/>
  <c r="D39" i="13"/>
  <c r="E39" i="13" s="1"/>
  <c r="B36" i="43"/>
  <c r="F36" i="43"/>
  <c r="G36" i="43" s="1"/>
  <c r="H38" i="13"/>
  <c r="I38" i="13" s="1"/>
  <c r="I40" i="28"/>
  <c r="B45" i="22"/>
  <c r="F45" i="22"/>
  <c r="B50" i="10"/>
  <c r="F50" i="10"/>
  <c r="B47" i="6"/>
  <c r="F47" i="6"/>
  <c r="I48" i="7"/>
  <c r="F41" i="31"/>
  <c r="B41" i="31"/>
  <c r="I46" i="6"/>
  <c r="B49" i="7"/>
  <c r="F49" i="7"/>
  <c r="B37" i="42"/>
  <c r="F37" i="42"/>
  <c r="H37" i="42" s="1"/>
  <c r="F45" i="25"/>
  <c r="B45" i="25"/>
  <c r="B37" i="41"/>
  <c r="F37" i="41"/>
  <c r="H37" i="41" s="1"/>
  <c r="F46" i="4"/>
  <c r="B46" i="4"/>
  <c r="I47" i="11"/>
  <c r="B41" i="29"/>
  <c r="F41" i="29"/>
  <c r="B39" i="37"/>
  <c r="F39" i="37"/>
  <c r="H39" i="37" s="1"/>
  <c r="F38" i="45"/>
  <c r="G38" i="45" s="1"/>
  <c r="B38" i="45"/>
  <c r="H119" i="13"/>
  <c r="I119" i="13"/>
  <c r="B119" i="44"/>
  <c r="F119" i="44"/>
  <c r="B120" i="13"/>
  <c r="E120" i="13"/>
  <c r="F120" i="13" s="1"/>
  <c r="H118" i="44"/>
  <c r="I118" i="44"/>
  <c r="G38" i="44" l="1"/>
  <c r="H38" i="44"/>
  <c r="I38" i="44" s="1"/>
  <c r="D39" i="44"/>
  <c r="H38" i="45"/>
  <c r="I38" i="45" s="1"/>
  <c r="G37" i="40"/>
  <c r="I37" i="40"/>
  <c r="G38" i="38"/>
  <c r="I38" i="38" s="1"/>
  <c r="G37" i="41"/>
  <c r="I37" i="41" s="1"/>
  <c r="G37" i="42"/>
  <c r="I37" i="42" s="1"/>
  <c r="G42" i="27"/>
  <c r="H42" i="27"/>
  <c r="D43" i="27"/>
  <c r="J119" i="45"/>
  <c r="J118" i="44"/>
  <c r="G120" i="45"/>
  <c r="D121" i="45"/>
  <c r="H119" i="46"/>
  <c r="I119" i="46"/>
  <c r="E120" i="46"/>
  <c r="F120" i="46" s="1"/>
  <c r="B120" i="46"/>
  <c r="D46" i="22"/>
  <c r="G45" i="22"/>
  <c r="H45" i="22"/>
  <c r="E46" i="22"/>
  <c r="G45" i="25"/>
  <c r="H45" i="25"/>
  <c r="D46" i="25"/>
  <c r="E46" i="25"/>
  <c r="D37" i="43"/>
  <c r="E37" i="43"/>
  <c r="B39" i="13"/>
  <c r="F39" i="13"/>
  <c r="G38" i="39"/>
  <c r="I38" i="39" s="1"/>
  <c r="H43" i="24"/>
  <c r="D44" i="24"/>
  <c r="G43" i="24"/>
  <c r="E44" i="24"/>
  <c r="I48" i="9"/>
  <c r="I37" i="46"/>
  <c r="D41" i="30"/>
  <c r="E41" i="30" s="1"/>
  <c r="H40" i="30"/>
  <c r="G40" i="30"/>
  <c r="D39" i="45"/>
  <c r="E39" i="45" s="1"/>
  <c r="D38" i="41"/>
  <c r="E38" i="41" s="1"/>
  <c r="H49" i="7"/>
  <c r="D50" i="7"/>
  <c r="E50" i="7" s="1"/>
  <c r="G49" i="7"/>
  <c r="G41" i="31"/>
  <c r="D42" i="31"/>
  <c r="E42" i="31" s="1"/>
  <c r="H41" i="31"/>
  <c r="D51" i="10"/>
  <c r="H50" i="10"/>
  <c r="E51" i="10"/>
  <c r="G50" i="10"/>
  <c r="D38" i="40"/>
  <c r="E38" i="40"/>
  <c r="D42" i="28"/>
  <c r="E42" i="28" s="1"/>
  <c r="G41" i="28"/>
  <c r="H41" i="28"/>
  <c r="G46" i="3"/>
  <c r="H46" i="3"/>
  <c r="D47" i="3"/>
  <c r="E47" i="3"/>
  <c r="E40" i="37"/>
  <c r="D40" i="37"/>
  <c r="D48" i="6"/>
  <c r="E48" i="6" s="1"/>
  <c r="G47" i="6"/>
  <c r="H47" i="6"/>
  <c r="G46" i="5"/>
  <c r="H46" i="5"/>
  <c r="D47" i="5"/>
  <c r="E47" i="5" s="1"/>
  <c r="G39" i="37"/>
  <c r="I39" i="37" s="1"/>
  <c r="G41" i="29"/>
  <c r="D42" i="29"/>
  <c r="E42" i="29" s="1"/>
  <c r="H41" i="29"/>
  <c r="H46" i="4"/>
  <c r="D47" i="4"/>
  <c r="E47" i="4" s="1"/>
  <c r="G46" i="4"/>
  <c r="D38" i="42"/>
  <c r="E38" i="42"/>
  <c r="H36" i="43"/>
  <c r="I36" i="43" s="1"/>
  <c r="H44" i="23"/>
  <c r="D45" i="23"/>
  <c r="E45" i="23" s="1"/>
  <c r="G44" i="23"/>
  <c r="G48" i="11"/>
  <c r="H48" i="11"/>
  <c r="D49" i="11"/>
  <c r="E49" i="11" s="1"/>
  <c r="D39" i="39"/>
  <c r="E39" i="39"/>
  <c r="H47" i="8"/>
  <c r="D48" i="8"/>
  <c r="G47" i="8"/>
  <c r="E48" i="8"/>
  <c r="F49" i="9"/>
  <c r="B49" i="9"/>
  <c r="D39" i="38"/>
  <c r="E39" i="38"/>
  <c r="F38" i="46"/>
  <c r="H38" i="46" s="1"/>
  <c r="B38" i="46"/>
  <c r="J119" i="13"/>
  <c r="G120" i="13"/>
  <c r="D121" i="13"/>
  <c r="D120" i="44"/>
  <c r="G119" i="44"/>
  <c r="E39" i="44" l="1"/>
  <c r="F39" i="44" s="1"/>
  <c r="B39" i="44"/>
  <c r="I46" i="5"/>
  <c r="I41" i="31"/>
  <c r="I43" i="24"/>
  <c r="I45" i="25"/>
  <c r="J119" i="46"/>
  <c r="I47" i="8"/>
  <c r="I48" i="11"/>
  <c r="I46" i="4"/>
  <c r="I47" i="6"/>
  <c r="I50" i="10"/>
  <c r="I41" i="28"/>
  <c r="B43" i="27"/>
  <c r="I42" i="27"/>
  <c r="E43" i="27"/>
  <c r="F43" i="27" s="1"/>
  <c r="G120" i="46"/>
  <c r="D121" i="46"/>
  <c r="B121" i="46" s="1"/>
  <c r="E121" i="45"/>
  <c r="F121" i="45" s="1"/>
  <c r="B121" i="45"/>
  <c r="I120" i="45"/>
  <c r="H120" i="45"/>
  <c r="B49" i="11"/>
  <c r="F49" i="11"/>
  <c r="F47" i="4"/>
  <c r="B47" i="4"/>
  <c r="B45" i="23"/>
  <c r="F45" i="23"/>
  <c r="B38" i="42"/>
  <c r="F38" i="42"/>
  <c r="G38" i="42" s="1"/>
  <c r="B42" i="31"/>
  <c r="F42" i="31"/>
  <c r="B50" i="7"/>
  <c r="F50" i="7"/>
  <c r="I40" i="30"/>
  <c r="F46" i="22"/>
  <c r="B46" i="22"/>
  <c r="D50" i="9"/>
  <c r="E50" i="9" s="1"/>
  <c r="H49" i="9"/>
  <c r="G49" i="9"/>
  <c r="B47" i="5"/>
  <c r="F47" i="5"/>
  <c r="D40" i="13"/>
  <c r="E40" i="13" s="1"/>
  <c r="B39" i="38"/>
  <c r="F39" i="38"/>
  <c r="G39" i="38" s="1"/>
  <c r="B39" i="39"/>
  <c r="F39" i="39"/>
  <c r="I44" i="23"/>
  <c r="B48" i="6"/>
  <c r="F48" i="6"/>
  <c r="B47" i="3"/>
  <c r="F47" i="3"/>
  <c r="B38" i="40"/>
  <c r="F38" i="40"/>
  <c r="G38" i="40" s="1"/>
  <c r="B51" i="10"/>
  <c r="F51" i="10"/>
  <c r="I49" i="7"/>
  <c r="F39" i="45"/>
  <c r="B39" i="45"/>
  <c r="B41" i="30"/>
  <c r="F41" i="30"/>
  <c r="G39" i="13"/>
  <c r="D39" i="46"/>
  <c r="E39" i="46" s="1"/>
  <c r="F42" i="29"/>
  <c r="B42" i="29"/>
  <c r="F42" i="28"/>
  <c r="B42" i="28"/>
  <c r="F38" i="41"/>
  <c r="H38" i="41" s="1"/>
  <c r="B38" i="41"/>
  <c r="G38" i="46"/>
  <c r="I38" i="46" s="1"/>
  <c r="B48" i="8"/>
  <c r="F48" i="8"/>
  <c r="I41" i="29"/>
  <c r="F40" i="37"/>
  <c r="B40" i="37"/>
  <c r="I46" i="3"/>
  <c r="F44" i="24"/>
  <c r="B44" i="24"/>
  <c r="H39" i="13"/>
  <c r="I39" i="13" s="1"/>
  <c r="B37" i="43"/>
  <c r="F37" i="43"/>
  <c r="G37" i="43" s="1"/>
  <c r="F46" i="25"/>
  <c r="B46" i="25"/>
  <c r="I45" i="22"/>
  <c r="B121" i="13"/>
  <c r="B120" i="44"/>
  <c r="I120" i="13"/>
  <c r="H120" i="13"/>
  <c r="I119" i="44"/>
  <c r="H119" i="44"/>
  <c r="E120" i="44"/>
  <c r="F120" i="44" s="1"/>
  <c r="E121" i="13"/>
  <c r="F121" i="13" s="1"/>
  <c r="H39" i="44" l="1"/>
  <c r="G39" i="44"/>
  <c r="I39" i="44" s="1"/>
  <c r="D40" i="44"/>
  <c r="H38" i="40"/>
  <c r="I38" i="40" s="1"/>
  <c r="H43" i="27"/>
  <c r="D44" i="27"/>
  <c r="E44" i="27"/>
  <c r="G43" i="27"/>
  <c r="J120" i="45"/>
  <c r="G121" i="45"/>
  <c r="D122" i="45"/>
  <c r="B122" i="45" s="1"/>
  <c r="H120" i="46"/>
  <c r="I120" i="46"/>
  <c r="E121" i="46"/>
  <c r="F121" i="46" s="1"/>
  <c r="H46" i="25"/>
  <c r="G46" i="25"/>
  <c r="D47" i="25"/>
  <c r="E47" i="25"/>
  <c r="H42" i="29"/>
  <c r="G42" i="29"/>
  <c r="D43" i="29"/>
  <c r="E43" i="29"/>
  <c r="D40" i="45"/>
  <c r="F50" i="9"/>
  <c r="B50" i="9"/>
  <c r="H47" i="4"/>
  <c r="D48" i="4"/>
  <c r="G47" i="4"/>
  <c r="E48" i="4"/>
  <c r="H39" i="45"/>
  <c r="D39" i="40"/>
  <c r="E39" i="40"/>
  <c r="G47" i="3"/>
  <c r="H47" i="3"/>
  <c r="D48" i="3"/>
  <c r="E48" i="3"/>
  <c r="G50" i="7"/>
  <c r="H50" i="7"/>
  <c r="D51" i="7"/>
  <c r="E51" i="7" s="1"/>
  <c r="G45" i="23"/>
  <c r="D46" i="23"/>
  <c r="H45" i="23"/>
  <c r="E46" i="23"/>
  <c r="H49" i="11"/>
  <c r="D50" i="11"/>
  <c r="G49" i="11"/>
  <c r="E50" i="11"/>
  <c r="D41" i="37"/>
  <c r="E41" i="37" s="1"/>
  <c r="D39" i="41"/>
  <c r="E39" i="41"/>
  <c r="D42" i="30"/>
  <c r="H41" i="30"/>
  <c r="G41" i="30"/>
  <c r="E42" i="30"/>
  <c r="D40" i="39"/>
  <c r="E40" i="39"/>
  <c r="H47" i="5"/>
  <c r="D48" i="5"/>
  <c r="E48" i="5" s="1"/>
  <c r="G47" i="5"/>
  <c r="D38" i="43"/>
  <c r="E38" i="43"/>
  <c r="H40" i="37"/>
  <c r="H48" i="8"/>
  <c r="D49" i="8"/>
  <c r="E49" i="8" s="1"/>
  <c r="G48" i="8"/>
  <c r="H42" i="28"/>
  <c r="D43" i="28"/>
  <c r="E43" i="28" s="1"/>
  <c r="G42" i="28"/>
  <c r="F39" i="46"/>
  <c r="H39" i="46" s="1"/>
  <c r="B39" i="46"/>
  <c r="G39" i="45"/>
  <c r="H39" i="39"/>
  <c r="D40" i="38"/>
  <c r="E40" i="38"/>
  <c r="D39" i="42"/>
  <c r="E39" i="42" s="1"/>
  <c r="H37" i="43"/>
  <c r="I37" i="43" s="1"/>
  <c r="G44" i="24"/>
  <c r="H44" i="24"/>
  <c r="D45" i="24"/>
  <c r="E45" i="24"/>
  <c r="G40" i="37"/>
  <c r="G38" i="41"/>
  <c r="I38" i="41" s="1"/>
  <c r="D52" i="10"/>
  <c r="E52" i="10" s="1"/>
  <c r="H51" i="10"/>
  <c r="G51" i="10"/>
  <c r="G48" i="6"/>
  <c r="H48" i="6"/>
  <c r="D49" i="6"/>
  <c r="E49" i="6" s="1"/>
  <c r="G39" i="39"/>
  <c r="H39" i="38"/>
  <c r="I39" i="38" s="1"/>
  <c r="B40" i="13"/>
  <c r="F40" i="13"/>
  <c r="H40" i="13" s="1"/>
  <c r="I49" i="9"/>
  <c r="D47" i="22"/>
  <c r="E47" i="22" s="1"/>
  <c r="G46" i="22"/>
  <c r="H46" i="22"/>
  <c r="D43" i="31"/>
  <c r="E43" i="31" s="1"/>
  <c r="G42" i="31"/>
  <c r="H42" i="31"/>
  <c r="H38" i="42"/>
  <c r="I38" i="42" s="1"/>
  <c r="J120" i="13"/>
  <c r="D122" i="13"/>
  <c r="E122" i="13" s="1"/>
  <c r="G121" i="13"/>
  <c r="G120" i="44"/>
  <c r="D121" i="44"/>
  <c r="J119" i="44"/>
  <c r="E40" i="44" l="1"/>
  <c r="B40" i="44"/>
  <c r="F40" i="44"/>
  <c r="H40" i="44"/>
  <c r="I50" i="7"/>
  <c r="I47" i="3"/>
  <c r="I51" i="10"/>
  <c r="G39" i="46"/>
  <c r="I39" i="46" s="1"/>
  <c r="I42" i="28"/>
  <c r="I48" i="8"/>
  <c r="I41" i="30"/>
  <c r="B44" i="27"/>
  <c r="F44" i="27"/>
  <c r="G40" i="13"/>
  <c r="I40" i="13" s="1"/>
  <c r="I44" i="24"/>
  <c r="I49" i="11"/>
  <c r="I43" i="27"/>
  <c r="J120" i="46"/>
  <c r="E122" i="45"/>
  <c r="F122" i="45" s="1"/>
  <c r="G122" i="45" s="1"/>
  <c r="H122" i="45" s="1"/>
  <c r="G121" i="46"/>
  <c r="D122" i="46"/>
  <c r="I121" i="45"/>
  <c r="H121" i="45"/>
  <c r="B47" i="22"/>
  <c r="F47" i="22"/>
  <c r="B52" i="10"/>
  <c r="F52" i="10"/>
  <c r="F50" i="11"/>
  <c r="B50" i="11"/>
  <c r="D51" i="9"/>
  <c r="H50" i="9"/>
  <c r="E51" i="9"/>
  <c r="G50" i="9"/>
  <c r="I39" i="39"/>
  <c r="I40" i="37"/>
  <c r="B40" i="39"/>
  <c r="F40" i="39"/>
  <c r="G40" i="39" s="1"/>
  <c r="B42" i="30"/>
  <c r="F42" i="30"/>
  <c r="F51" i="7"/>
  <c r="B51" i="7"/>
  <c r="B48" i="3"/>
  <c r="F48" i="3"/>
  <c r="B39" i="40"/>
  <c r="F39" i="40"/>
  <c r="G39" i="40" s="1"/>
  <c r="B48" i="4"/>
  <c r="F48" i="4"/>
  <c r="B40" i="45"/>
  <c r="F40" i="38"/>
  <c r="H40" i="38" s="1"/>
  <c r="B40" i="38"/>
  <c r="F46" i="23"/>
  <c r="B46" i="23"/>
  <c r="F47" i="25"/>
  <c r="B47" i="25"/>
  <c r="I42" i="31"/>
  <c r="I46" i="22"/>
  <c r="D41" i="13"/>
  <c r="E41" i="13" s="1"/>
  <c r="B49" i="6"/>
  <c r="F49" i="6"/>
  <c r="F39" i="42"/>
  <c r="B39" i="42"/>
  <c r="D40" i="46"/>
  <c r="B48" i="5"/>
  <c r="F48" i="5"/>
  <c r="I39" i="45"/>
  <c r="I47" i="4"/>
  <c r="E40" i="45"/>
  <c r="F40" i="45" s="1"/>
  <c r="I42" i="29"/>
  <c r="I46" i="25"/>
  <c r="F43" i="31"/>
  <c r="B43" i="31"/>
  <c r="B45" i="24"/>
  <c r="F45" i="24"/>
  <c r="F41" i="37"/>
  <c r="H41" i="37" s="1"/>
  <c r="B41" i="37"/>
  <c r="B43" i="29"/>
  <c r="F43" i="29"/>
  <c r="I48" i="6"/>
  <c r="F43" i="28"/>
  <c r="B43" i="28"/>
  <c r="F49" i="8"/>
  <c r="B49" i="8"/>
  <c r="F38" i="43"/>
  <c r="H38" i="43" s="1"/>
  <c r="B38" i="43"/>
  <c r="I47" i="5"/>
  <c r="B39" i="41"/>
  <c r="F39" i="41"/>
  <c r="G39" i="41" s="1"/>
  <c r="I45" i="23"/>
  <c r="H121" i="13"/>
  <c r="I121" i="13"/>
  <c r="B121" i="44"/>
  <c r="I120" i="44"/>
  <c r="H120" i="44"/>
  <c r="E121" i="44"/>
  <c r="F121" i="44" s="1"/>
  <c r="F122" i="13"/>
  <c r="B122" i="13"/>
  <c r="I122" i="45" l="1"/>
  <c r="G40" i="44"/>
  <c r="I40" i="44" s="1"/>
  <c r="D41" i="44"/>
  <c r="E41" i="44" s="1"/>
  <c r="I50" i="9"/>
  <c r="G40" i="38"/>
  <c r="H39" i="40"/>
  <c r="D45" i="27"/>
  <c r="E45" i="27"/>
  <c r="G44" i="27"/>
  <c r="H44" i="27"/>
  <c r="D123" i="45"/>
  <c r="E123" i="45" s="1"/>
  <c r="J121" i="45"/>
  <c r="E122" i="46"/>
  <c r="F122" i="46" s="1"/>
  <c r="B122" i="46"/>
  <c r="H121" i="46"/>
  <c r="I121" i="46"/>
  <c r="D41" i="45"/>
  <c r="H40" i="45"/>
  <c r="G40" i="45"/>
  <c r="B40" i="46"/>
  <c r="D40" i="42"/>
  <c r="E40" i="42" s="1"/>
  <c r="I39" i="40"/>
  <c r="H52" i="10"/>
  <c r="D53" i="10"/>
  <c r="E53" i="10" s="1"/>
  <c r="G52" i="10"/>
  <c r="D40" i="41"/>
  <c r="E40" i="41" s="1"/>
  <c r="D44" i="28"/>
  <c r="H43" i="28"/>
  <c r="G43" i="28"/>
  <c r="E44" i="28"/>
  <c r="H45" i="24"/>
  <c r="D46" i="24"/>
  <c r="E46" i="24" s="1"/>
  <c r="G45" i="24"/>
  <c r="E40" i="46"/>
  <c r="F40" i="46" s="1"/>
  <c r="H39" i="42"/>
  <c r="B41" i="13"/>
  <c r="F41" i="13"/>
  <c r="G41" i="13" s="1"/>
  <c r="D48" i="25"/>
  <c r="E48" i="25" s="1"/>
  <c r="G47" i="25"/>
  <c r="H47" i="25"/>
  <c r="I40" i="38"/>
  <c r="G51" i="7"/>
  <c r="D52" i="7"/>
  <c r="E52" i="7" s="1"/>
  <c r="H51" i="7"/>
  <c r="D41" i="39"/>
  <c r="E41" i="39"/>
  <c r="F51" i="9"/>
  <c r="B51" i="9"/>
  <c r="D42" i="37"/>
  <c r="E42" i="37"/>
  <c r="H48" i="4"/>
  <c r="G48" i="4"/>
  <c r="D49" i="4"/>
  <c r="E49" i="4"/>
  <c r="H39" i="41"/>
  <c r="I39" i="41" s="1"/>
  <c r="H48" i="5"/>
  <c r="D49" i="5"/>
  <c r="G48" i="5"/>
  <c r="E49" i="5"/>
  <c r="D50" i="6"/>
  <c r="E50" i="6" s="1"/>
  <c r="H49" i="6"/>
  <c r="G49" i="6"/>
  <c r="H48" i="3"/>
  <c r="G48" i="3"/>
  <c r="D49" i="3"/>
  <c r="E49" i="3"/>
  <c r="D43" i="30"/>
  <c r="E43" i="30" s="1"/>
  <c r="G42" i="30"/>
  <c r="H42" i="30"/>
  <c r="D48" i="22"/>
  <c r="E48" i="22" s="1"/>
  <c r="G47" i="22"/>
  <c r="H47" i="22"/>
  <c r="D39" i="43"/>
  <c r="E39" i="43" s="1"/>
  <c r="D44" i="31"/>
  <c r="E44" i="31" s="1"/>
  <c r="G43" i="31"/>
  <c r="H43" i="31"/>
  <c r="G38" i="43"/>
  <c r="I38" i="43" s="1"/>
  <c r="D50" i="8"/>
  <c r="E50" i="8" s="1"/>
  <c r="G49" i="8"/>
  <c r="H49" i="8"/>
  <c r="H43" i="29"/>
  <c r="G43" i="29"/>
  <c r="D44" i="29"/>
  <c r="E44" i="29"/>
  <c r="G41" i="37"/>
  <c r="I41" i="37" s="1"/>
  <c r="G39" i="42"/>
  <c r="D47" i="23"/>
  <c r="E47" i="23" s="1"/>
  <c r="G46" i="23"/>
  <c r="H46" i="23"/>
  <c r="D41" i="38"/>
  <c r="E41" i="38"/>
  <c r="D40" i="40"/>
  <c r="E40" i="40" s="1"/>
  <c r="H40" i="39"/>
  <c r="I40" i="39" s="1"/>
  <c r="H50" i="11"/>
  <c r="D51" i="11"/>
  <c r="E51" i="11" s="1"/>
  <c r="G50" i="11"/>
  <c r="J121" i="13"/>
  <c r="G121" i="44"/>
  <c r="D122" i="44"/>
  <c r="D123" i="13"/>
  <c r="E123" i="13" s="1"/>
  <c r="G122" i="13"/>
  <c r="J120" i="44"/>
  <c r="J122" i="45"/>
  <c r="I44" i="27" l="1"/>
  <c r="F41" i="44"/>
  <c r="G41" i="44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B123" i="45"/>
  <c r="F123" i="45"/>
  <c r="J121" i="46"/>
  <c r="G122" i="46"/>
  <c r="D123" i="46"/>
  <c r="B123" i="46" s="1"/>
  <c r="D41" i="46"/>
  <c r="G40" i="46"/>
  <c r="H40" i="46"/>
  <c r="F48" i="22"/>
  <c r="B48" i="22"/>
  <c r="B50" i="6"/>
  <c r="F50" i="6"/>
  <c r="B52" i="7"/>
  <c r="F52" i="7"/>
  <c r="F44" i="28"/>
  <c r="B44" i="28"/>
  <c r="B41" i="45"/>
  <c r="F41" i="38"/>
  <c r="G41" i="38" s="1"/>
  <c r="B41" i="38"/>
  <c r="B47" i="23"/>
  <c r="F47" i="23"/>
  <c r="B44" i="29"/>
  <c r="F44" i="29"/>
  <c r="I49" i="8"/>
  <c r="I48" i="4"/>
  <c r="F41" i="39"/>
  <c r="G41" i="39" s="1"/>
  <c r="B41" i="39"/>
  <c r="B53" i="10"/>
  <c r="F53" i="10"/>
  <c r="F40" i="42"/>
  <c r="G40" i="42" s="1"/>
  <c r="B40" i="42"/>
  <c r="E41" i="45"/>
  <c r="F41" i="45" s="1"/>
  <c r="D42" i="13"/>
  <c r="F44" i="31"/>
  <c r="B44" i="31"/>
  <c r="F49" i="3"/>
  <c r="B49" i="3"/>
  <c r="B48" i="25"/>
  <c r="F48" i="25"/>
  <c r="B40" i="41"/>
  <c r="F40" i="41"/>
  <c r="F39" i="43"/>
  <c r="G39" i="43" s="1"/>
  <c r="B39" i="43"/>
  <c r="B43" i="30"/>
  <c r="F43" i="30"/>
  <c r="F51" i="11"/>
  <c r="B51" i="11"/>
  <c r="B40" i="40"/>
  <c r="F40" i="40"/>
  <c r="H40" i="40" s="1"/>
  <c r="I46" i="23"/>
  <c r="I43" i="29"/>
  <c r="B50" i="8"/>
  <c r="F50" i="8"/>
  <c r="I49" i="6"/>
  <c r="B49" i="5"/>
  <c r="F49" i="5"/>
  <c r="F49" i="4"/>
  <c r="B49" i="4"/>
  <c r="B42" i="37"/>
  <c r="F42" i="37"/>
  <c r="G42" i="37" s="1"/>
  <c r="H51" i="9"/>
  <c r="D52" i="9"/>
  <c r="E52" i="9"/>
  <c r="G51" i="9"/>
  <c r="I51" i="7"/>
  <c r="H41" i="13"/>
  <c r="I41" i="13" s="1"/>
  <c r="I39" i="42"/>
  <c r="B46" i="24"/>
  <c r="F46" i="24"/>
  <c r="I43" i="28"/>
  <c r="I40" i="45"/>
  <c r="I122" i="13"/>
  <c r="H122" i="13"/>
  <c r="B122" i="44"/>
  <c r="E122" i="44"/>
  <c r="F122" i="44" s="1"/>
  <c r="F123" i="13"/>
  <c r="B123" i="13"/>
  <c r="H121" i="44"/>
  <c r="I121" i="44"/>
  <c r="H41" i="44" l="1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G45" i="27"/>
  <c r="H45" i="27"/>
  <c r="D124" i="45"/>
  <c r="G123" i="45"/>
  <c r="E123" i="46"/>
  <c r="F123" i="46" s="1"/>
  <c r="D124" i="46" s="1"/>
  <c r="B124" i="46" s="1"/>
  <c r="H122" i="46"/>
  <c r="I122" i="46"/>
  <c r="D42" i="45"/>
  <c r="H41" i="45"/>
  <c r="G41" i="45"/>
  <c r="D41" i="41"/>
  <c r="E41" i="41"/>
  <c r="D45" i="31"/>
  <c r="G44" i="31"/>
  <c r="H44" i="31"/>
  <c r="E45" i="31"/>
  <c r="D47" i="24"/>
  <c r="E47" i="24" s="1"/>
  <c r="G46" i="24"/>
  <c r="H46" i="24"/>
  <c r="G43" i="30"/>
  <c r="H43" i="30"/>
  <c r="D44" i="30"/>
  <c r="E44" i="30"/>
  <c r="B42" i="13"/>
  <c r="D42" i="39"/>
  <c r="E42" i="39" s="1"/>
  <c r="D45" i="28"/>
  <c r="E45" i="28" s="1"/>
  <c r="H44" i="28"/>
  <c r="G44" i="28"/>
  <c r="F52" i="9"/>
  <c r="B52" i="9"/>
  <c r="G49" i="5"/>
  <c r="D50" i="5"/>
  <c r="H49" i="5"/>
  <c r="E50" i="5"/>
  <c r="D54" i="10"/>
  <c r="E54" i="10" s="1"/>
  <c r="H53" i="10"/>
  <c r="G53" i="10"/>
  <c r="G44" i="29"/>
  <c r="H44" i="29"/>
  <c r="D45" i="29"/>
  <c r="E45" i="29"/>
  <c r="D43" i="37"/>
  <c r="E43" i="37" s="1"/>
  <c r="D40" i="43"/>
  <c r="E40" i="43"/>
  <c r="H40" i="41"/>
  <c r="H49" i="3"/>
  <c r="G49" i="3"/>
  <c r="D50" i="3"/>
  <c r="E50" i="3"/>
  <c r="E42" i="13"/>
  <c r="F42" i="13" s="1"/>
  <c r="G42" i="13" s="1"/>
  <c r="H41" i="39"/>
  <c r="I41" i="39" s="1"/>
  <c r="D48" i="23"/>
  <c r="E48" i="23" s="1"/>
  <c r="H47" i="23"/>
  <c r="G47" i="23"/>
  <c r="D53" i="7"/>
  <c r="E53" i="7" s="1"/>
  <c r="G52" i="7"/>
  <c r="H52" i="7"/>
  <c r="B41" i="46"/>
  <c r="H51" i="11"/>
  <c r="D52" i="11"/>
  <c r="G51" i="11"/>
  <c r="E52" i="11"/>
  <c r="D51" i="6"/>
  <c r="H50" i="6"/>
  <c r="G50" i="6"/>
  <c r="E51" i="6"/>
  <c r="H42" i="37"/>
  <c r="I42" i="37" s="1"/>
  <c r="H49" i="4"/>
  <c r="G49" i="4"/>
  <c r="D50" i="4"/>
  <c r="E50" i="4" s="1"/>
  <c r="H50" i="8"/>
  <c r="D51" i="8"/>
  <c r="E51" i="8" s="1"/>
  <c r="G50" i="8"/>
  <c r="D41" i="40"/>
  <c r="E41" i="40"/>
  <c r="G40" i="41"/>
  <c r="D49" i="25"/>
  <c r="G48" i="25"/>
  <c r="H48" i="25"/>
  <c r="E49" i="25"/>
  <c r="D41" i="42"/>
  <c r="E41" i="42" s="1"/>
  <c r="D42" i="38"/>
  <c r="E42" i="38"/>
  <c r="G48" i="22"/>
  <c r="D49" i="22"/>
  <c r="H48" i="22"/>
  <c r="E49" i="22"/>
  <c r="E41" i="46"/>
  <c r="F41" i="46" s="1"/>
  <c r="J121" i="44"/>
  <c r="G122" i="44"/>
  <c r="D123" i="44"/>
  <c r="E123" i="44" s="1"/>
  <c r="G123" i="13"/>
  <c r="D124" i="13"/>
  <c r="J122" i="13"/>
  <c r="E124" i="46" l="1"/>
  <c r="F124" i="46" s="1"/>
  <c r="E42" i="44"/>
  <c r="F42" i="44" s="1"/>
  <c r="B42" i="44"/>
  <c r="I45" i="27"/>
  <c r="F46" i="27"/>
  <c r="B46" i="27"/>
  <c r="I50" i="8"/>
  <c r="I49" i="4"/>
  <c r="I50" i="6"/>
  <c r="I40" i="41"/>
  <c r="I51" i="11"/>
  <c r="I47" i="23"/>
  <c r="I49" i="3"/>
  <c r="I46" i="24"/>
  <c r="I123" i="45"/>
  <c r="H123" i="45"/>
  <c r="E124" i="45"/>
  <c r="F124" i="45" s="1"/>
  <c r="B124" i="45"/>
  <c r="G123" i="46"/>
  <c r="J122" i="46"/>
  <c r="D42" i="46"/>
  <c r="E42" i="46" s="1"/>
  <c r="H41" i="46"/>
  <c r="G41" i="46"/>
  <c r="F41" i="42"/>
  <c r="G41" i="42" s="1"/>
  <c r="B41" i="42"/>
  <c r="B51" i="6"/>
  <c r="F51" i="6"/>
  <c r="B53" i="7"/>
  <c r="F53" i="7"/>
  <c r="F54" i="10"/>
  <c r="B54" i="10"/>
  <c r="F42" i="39"/>
  <c r="H42" i="39" s="1"/>
  <c r="B42" i="39"/>
  <c r="B50" i="4"/>
  <c r="F50" i="4"/>
  <c r="F50" i="3"/>
  <c r="B50" i="3"/>
  <c r="I44" i="28"/>
  <c r="B44" i="30"/>
  <c r="F44" i="30"/>
  <c r="F45" i="31"/>
  <c r="B45" i="31"/>
  <c r="I41" i="45"/>
  <c r="F49" i="25"/>
  <c r="B49" i="25"/>
  <c r="F48" i="23"/>
  <c r="B48" i="23"/>
  <c r="B43" i="37"/>
  <c r="F43" i="37"/>
  <c r="H43" i="37" s="1"/>
  <c r="D43" i="13"/>
  <c r="I48" i="22"/>
  <c r="B42" i="38"/>
  <c r="F42" i="38"/>
  <c r="H42" i="38" s="1"/>
  <c r="I48" i="25"/>
  <c r="F51" i="8"/>
  <c r="B51" i="8"/>
  <c r="I52" i="7"/>
  <c r="B40" i="43"/>
  <c r="F40" i="43"/>
  <c r="G40" i="43" s="1"/>
  <c r="B45" i="29"/>
  <c r="F45" i="29"/>
  <c r="I53" i="10"/>
  <c r="G52" i="9"/>
  <c r="H52" i="9"/>
  <c r="D53" i="9"/>
  <c r="E53" i="9" s="1"/>
  <c r="F45" i="28"/>
  <c r="B45" i="28"/>
  <c r="H42" i="13"/>
  <c r="I42" i="13" s="1"/>
  <c r="I43" i="30"/>
  <c r="B42" i="45"/>
  <c r="F49" i="22"/>
  <c r="B49" i="22"/>
  <c r="B41" i="40"/>
  <c r="F41" i="40"/>
  <c r="G41" i="40" s="1"/>
  <c r="B52" i="11"/>
  <c r="F52" i="11"/>
  <c r="I44" i="29"/>
  <c r="B50" i="5"/>
  <c r="F50" i="5"/>
  <c r="F47" i="24"/>
  <c r="B47" i="24"/>
  <c r="I44" i="31"/>
  <c r="F41" i="41"/>
  <c r="H41" i="41" s="1"/>
  <c r="B41" i="41"/>
  <c r="E42" i="45"/>
  <c r="F42" i="45" s="1"/>
  <c r="G124" i="46"/>
  <c r="D125" i="46"/>
  <c r="E125" i="46" s="1"/>
  <c r="H123" i="13"/>
  <c r="I123" i="13"/>
  <c r="B124" i="13"/>
  <c r="B123" i="44"/>
  <c r="F123" i="44"/>
  <c r="E124" i="13"/>
  <c r="F124" i="13" s="1"/>
  <c r="I122" i="44"/>
  <c r="H122" i="44"/>
  <c r="D43" i="44" l="1"/>
  <c r="G42" i="44"/>
  <c r="H42" i="44"/>
  <c r="I42" i="44" s="1"/>
  <c r="H41" i="42"/>
  <c r="I41" i="42" s="1"/>
  <c r="G42" i="39"/>
  <c r="I42" i="39" s="1"/>
  <c r="G43" i="37"/>
  <c r="G41" i="41"/>
  <c r="I41" i="41" s="1"/>
  <c r="G42" i="38"/>
  <c r="I42" i="38" s="1"/>
  <c r="G46" i="27"/>
  <c r="H46" i="27"/>
  <c r="D47" i="27"/>
  <c r="G124" i="45"/>
  <c r="D125" i="45"/>
  <c r="B125" i="45" s="1"/>
  <c r="J123" i="45"/>
  <c r="H123" i="46"/>
  <c r="I123" i="46"/>
  <c r="D43" i="45"/>
  <c r="E43" i="45" s="1"/>
  <c r="H42" i="45"/>
  <c r="G42" i="45"/>
  <c r="D42" i="40"/>
  <c r="E42" i="40"/>
  <c r="D50" i="22"/>
  <c r="G49" i="22"/>
  <c r="H49" i="22"/>
  <c r="E50" i="22"/>
  <c r="H45" i="28"/>
  <c r="G45" i="28"/>
  <c r="D46" i="28"/>
  <c r="E46" i="28"/>
  <c r="I43" i="37"/>
  <c r="G48" i="23"/>
  <c r="D49" i="23"/>
  <c r="E49" i="23" s="1"/>
  <c r="H48" i="23"/>
  <c r="I41" i="46"/>
  <c r="H50" i="4"/>
  <c r="G50" i="4"/>
  <c r="D51" i="4"/>
  <c r="E51" i="4" s="1"/>
  <c r="D48" i="24"/>
  <c r="E48" i="24" s="1"/>
  <c r="G47" i="24"/>
  <c r="H47" i="24"/>
  <c r="G52" i="11"/>
  <c r="D53" i="11"/>
  <c r="E53" i="11" s="1"/>
  <c r="H52" i="11"/>
  <c r="B53" i="9"/>
  <c r="F53" i="9"/>
  <c r="D41" i="43"/>
  <c r="E41" i="43" s="1"/>
  <c r="D43" i="38"/>
  <c r="E43" i="38"/>
  <c r="B43" i="13"/>
  <c r="D44" i="37"/>
  <c r="E44" i="37" s="1"/>
  <c r="H45" i="31"/>
  <c r="D46" i="31"/>
  <c r="G45" i="31"/>
  <c r="E46" i="31"/>
  <c r="H51" i="6"/>
  <c r="D52" i="6"/>
  <c r="E52" i="6" s="1"/>
  <c r="G51" i="6"/>
  <c r="G53" i="7"/>
  <c r="D54" i="7"/>
  <c r="E54" i="7" s="1"/>
  <c r="H53" i="7"/>
  <c r="D42" i="41"/>
  <c r="E42" i="41"/>
  <c r="G50" i="5"/>
  <c r="D51" i="5"/>
  <c r="H50" i="5"/>
  <c r="E51" i="5"/>
  <c r="H41" i="40"/>
  <c r="I41" i="40" s="1"/>
  <c r="I52" i="9"/>
  <c r="G45" i="29"/>
  <c r="H45" i="29"/>
  <c r="D46" i="29"/>
  <c r="E46" i="29" s="1"/>
  <c r="H40" i="43"/>
  <c r="I40" i="43" s="1"/>
  <c r="G51" i="8"/>
  <c r="D52" i="8"/>
  <c r="E52" i="8" s="1"/>
  <c r="H51" i="8"/>
  <c r="E43" i="13"/>
  <c r="F43" i="13" s="1"/>
  <c r="G49" i="25"/>
  <c r="H49" i="25"/>
  <c r="D50" i="25"/>
  <c r="E50" i="25"/>
  <c r="G44" i="30"/>
  <c r="H44" i="30"/>
  <c r="D45" i="30"/>
  <c r="E45" i="30"/>
  <c r="G50" i="3"/>
  <c r="D51" i="3"/>
  <c r="H50" i="3"/>
  <c r="E51" i="3"/>
  <c r="D43" i="39"/>
  <c r="E43" i="39" s="1"/>
  <c r="H54" i="10"/>
  <c r="D55" i="10"/>
  <c r="E55" i="10" s="1"/>
  <c r="G54" i="10"/>
  <c r="D42" i="42"/>
  <c r="E42" i="42"/>
  <c r="B42" i="46"/>
  <c r="F42" i="46"/>
  <c r="G42" i="46" s="1"/>
  <c r="J122" i="44"/>
  <c r="J123" i="13"/>
  <c r="G124" i="13"/>
  <c r="D125" i="13"/>
  <c r="E125" i="13" s="1"/>
  <c r="D124" i="44"/>
  <c r="G123" i="44"/>
  <c r="F125" i="46"/>
  <c r="B125" i="46"/>
  <c r="H124" i="46"/>
  <c r="I124" i="46"/>
  <c r="E43" i="44" l="1"/>
  <c r="F43" i="44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I44" i="30"/>
  <c r="I49" i="25"/>
  <c r="I51" i="8"/>
  <c r="E125" i="45"/>
  <c r="F125" i="45" s="1"/>
  <c r="I124" i="45"/>
  <c r="H124" i="45"/>
  <c r="J123" i="46"/>
  <c r="D44" i="13"/>
  <c r="H43" i="13"/>
  <c r="G43" i="13"/>
  <c r="B43" i="39"/>
  <c r="F43" i="39"/>
  <c r="G43" i="39" s="1"/>
  <c r="F52" i="8"/>
  <c r="B52" i="8"/>
  <c r="B46" i="29"/>
  <c r="F46" i="29"/>
  <c r="B43" i="38"/>
  <c r="F43" i="38"/>
  <c r="B48" i="24"/>
  <c r="F48" i="24"/>
  <c r="I50" i="4"/>
  <c r="I42" i="45"/>
  <c r="B46" i="31"/>
  <c r="F46" i="31"/>
  <c r="H53" i="9"/>
  <c r="G53" i="9"/>
  <c r="D54" i="9"/>
  <c r="E54" i="9" s="1"/>
  <c r="D43" i="46"/>
  <c r="E43" i="46" s="1"/>
  <c r="B55" i="10"/>
  <c r="F55" i="10"/>
  <c r="B54" i="7"/>
  <c r="F54" i="7"/>
  <c r="F52" i="6"/>
  <c r="B52" i="6"/>
  <c r="B44" i="37"/>
  <c r="F44" i="37"/>
  <c r="H44" i="37" s="1"/>
  <c r="F49" i="23"/>
  <c r="B49" i="23"/>
  <c r="B46" i="28"/>
  <c r="F46" i="28"/>
  <c r="F42" i="40"/>
  <c r="G42" i="40" s="1"/>
  <c r="B42" i="40"/>
  <c r="F51" i="3"/>
  <c r="B51" i="3"/>
  <c r="B51" i="5"/>
  <c r="F51" i="5"/>
  <c r="F53" i="11"/>
  <c r="B53" i="11"/>
  <c r="F50" i="22"/>
  <c r="B50" i="22"/>
  <c r="B42" i="42"/>
  <c r="F42" i="42"/>
  <c r="G42" i="42" s="1"/>
  <c r="I54" i="10"/>
  <c r="I50" i="3"/>
  <c r="B45" i="30"/>
  <c r="F45" i="30"/>
  <c r="F50" i="25"/>
  <c r="B50" i="25"/>
  <c r="B42" i="41"/>
  <c r="F42" i="41"/>
  <c r="I51" i="6"/>
  <c r="B41" i="43"/>
  <c r="F41" i="43"/>
  <c r="H41" i="43" s="1"/>
  <c r="I52" i="11"/>
  <c r="I47" i="24"/>
  <c r="B51" i="4"/>
  <c r="F51" i="4"/>
  <c r="B43" i="45"/>
  <c r="F43" i="45"/>
  <c r="H43" i="45" s="1"/>
  <c r="H123" i="44"/>
  <c r="I123" i="44"/>
  <c r="B124" i="44"/>
  <c r="J124" i="46"/>
  <c r="G125" i="46"/>
  <c r="D126" i="46"/>
  <c r="E126" i="46" s="1"/>
  <c r="E124" i="44"/>
  <c r="F124" i="44" s="1"/>
  <c r="B125" i="13"/>
  <c r="F125" i="13"/>
  <c r="I124" i="13"/>
  <c r="H124" i="13"/>
  <c r="G43" i="44" l="1"/>
  <c r="D44" i="44"/>
  <c r="H43" i="44"/>
  <c r="I43" i="44" s="1"/>
  <c r="G41" i="43"/>
  <c r="H47" i="27"/>
  <c r="D48" i="27"/>
  <c r="G47" i="27"/>
  <c r="G43" i="45"/>
  <c r="I43" i="45" s="1"/>
  <c r="J124" i="45"/>
  <c r="D126" i="45"/>
  <c r="G125" i="45"/>
  <c r="D43" i="41"/>
  <c r="E43" i="41"/>
  <c r="H54" i="7"/>
  <c r="D55" i="7"/>
  <c r="G54" i="7"/>
  <c r="E55" i="7"/>
  <c r="D44" i="38"/>
  <c r="E44" i="38" s="1"/>
  <c r="H42" i="41"/>
  <c r="G45" i="30"/>
  <c r="H45" i="30"/>
  <c r="D46" i="30"/>
  <c r="E46" i="30"/>
  <c r="H42" i="42"/>
  <c r="I42" i="42" s="1"/>
  <c r="H53" i="11"/>
  <c r="D54" i="11"/>
  <c r="G53" i="11"/>
  <c r="E54" i="11"/>
  <c r="H51" i="3"/>
  <c r="D52" i="3"/>
  <c r="G51" i="3"/>
  <c r="E52" i="3"/>
  <c r="D43" i="40"/>
  <c r="E43" i="40"/>
  <c r="H49" i="23"/>
  <c r="D50" i="23"/>
  <c r="E50" i="23" s="1"/>
  <c r="G49" i="23"/>
  <c r="G44" i="37"/>
  <c r="I44" i="37" s="1"/>
  <c r="I53" i="9"/>
  <c r="G43" i="38"/>
  <c r="D44" i="39"/>
  <c r="E44" i="39"/>
  <c r="I43" i="13"/>
  <c r="H50" i="25"/>
  <c r="D51" i="25"/>
  <c r="G50" i="25"/>
  <c r="E51" i="25"/>
  <c r="F43" i="46"/>
  <c r="H43" i="46" s="1"/>
  <c r="B43" i="46"/>
  <c r="D47" i="29"/>
  <c r="E47" i="29" s="1"/>
  <c r="G46" i="29"/>
  <c r="H46" i="29"/>
  <c r="D44" i="45"/>
  <c r="G51" i="4"/>
  <c r="H51" i="4"/>
  <c r="D52" i="4"/>
  <c r="E52" i="4" s="1"/>
  <c r="D42" i="43"/>
  <c r="E42" i="43"/>
  <c r="H51" i="5"/>
  <c r="D52" i="5"/>
  <c r="G51" i="5"/>
  <c r="E52" i="5"/>
  <c r="H42" i="40"/>
  <c r="I42" i="40" s="1"/>
  <c r="G46" i="28"/>
  <c r="H46" i="28"/>
  <c r="D47" i="28"/>
  <c r="E47" i="28"/>
  <c r="G55" i="10"/>
  <c r="H55" i="10"/>
  <c r="D56" i="10"/>
  <c r="E56" i="10" s="1"/>
  <c r="H46" i="31"/>
  <c r="G46" i="31"/>
  <c r="D47" i="31"/>
  <c r="E47" i="31"/>
  <c r="D49" i="24"/>
  <c r="G48" i="24"/>
  <c r="H48" i="24"/>
  <c r="E49" i="24"/>
  <c r="H43" i="39"/>
  <c r="I43" i="39" s="1"/>
  <c r="B44" i="13"/>
  <c r="I41" i="43"/>
  <c r="G42" i="41"/>
  <c r="D43" i="42"/>
  <c r="E43" i="42"/>
  <c r="H50" i="22"/>
  <c r="D51" i="22"/>
  <c r="G50" i="22"/>
  <c r="E51" i="22"/>
  <c r="D45" i="37"/>
  <c r="E45" i="37" s="1"/>
  <c r="H52" i="6"/>
  <c r="D53" i="6"/>
  <c r="E53" i="6" s="1"/>
  <c r="G52" i="6"/>
  <c r="B54" i="9"/>
  <c r="F54" i="9"/>
  <c r="H43" i="38"/>
  <c r="D53" i="8"/>
  <c r="H52" i="8"/>
  <c r="G52" i="8"/>
  <c r="E53" i="8"/>
  <c r="E44" i="13"/>
  <c r="F44" i="13" s="1"/>
  <c r="G44" i="13" s="1"/>
  <c r="H125" i="46"/>
  <c r="I125" i="46"/>
  <c r="D126" i="13"/>
  <c r="G125" i="13"/>
  <c r="J124" i="13"/>
  <c r="D125" i="44"/>
  <c r="G124" i="44"/>
  <c r="B126" i="46"/>
  <c r="F126" i="46"/>
  <c r="J123" i="44"/>
  <c r="B44" i="44" l="1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H125" i="45"/>
  <c r="I125" i="45"/>
  <c r="B126" i="45"/>
  <c r="E126" i="45"/>
  <c r="F126" i="45" s="1"/>
  <c r="B53" i="6"/>
  <c r="F53" i="6"/>
  <c r="F52" i="5"/>
  <c r="B52" i="5"/>
  <c r="I52" i="8"/>
  <c r="B43" i="42"/>
  <c r="F43" i="42"/>
  <c r="G43" i="42" s="1"/>
  <c r="F56" i="10"/>
  <c r="B56" i="10"/>
  <c r="F52" i="4"/>
  <c r="B52" i="4"/>
  <c r="I42" i="41"/>
  <c r="H54" i="9"/>
  <c r="D55" i="9"/>
  <c r="E55" i="9"/>
  <c r="G54" i="9"/>
  <c r="D45" i="13"/>
  <c r="F44" i="38"/>
  <c r="G44" i="38" s="1"/>
  <c r="B44" i="38"/>
  <c r="B53" i="8"/>
  <c r="F53" i="8"/>
  <c r="F51" i="22"/>
  <c r="B51" i="22"/>
  <c r="F47" i="31"/>
  <c r="B47" i="31"/>
  <c r="I55" i="10"/>
  <c r="F47" i="28"/>
  <c r="B47" i="28"/>
  <c r="B44" i="45"/>
  <c r="D44" i="46"/>
  <c r="E44" i="46" s="1"/>
  <c r="F51" i="25"/>
  <c r="B51" i="25"/>
  <c r="B44" i="39"/>
  <c r="F44" i="39"/>
  <c r="G44" i="39" s="1"/>
  <c r="F52" i="3"/>
  <c r="B52" i="3"/>
  <c r="B54" i="11"/>
  <c r="F54" i="11"/>
  <c r="F46" i="30"/>
  <c r="B46" i="30"/>
  <c r="F43" i="41"/>
  <c r="G43" i="41" s="1"/>
  <c r="B43" i="41"/>
  <c r="F49" i="24"/>
  <c r="B49" i="24"/>
  <c r="F50" i="23"/>
  <c r="B50" i="23"/>
  <c r="B45" i="37"/>
  <c r="F45" i="37"/>
  <c r="H45" i="37" s="1"/>
  <c r="I50" i="22"/>
  <c r="H44" i="13"/>
  <c r="I44" i="13" s="1"/>
  <c r="I46" i="28"/>
  <c r="B42" i="43"/>
  <c r="F42" i="43"/>
  <c r="G42" i="43" s="1"/>
  <c r="E44" i="45"/>
  <c r="F44" i="45" s="1"/>
  <c r="F47" i="29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I125" i="13"/>
  <c r="H125" i="13"/>
  <c r="B126" i="13"/>
  <c r="D127" i="46"/>
  <c r="E127" i="46" s="1"/>
  <c r="G126" i="46"/>
  <c r="H124" i="44"/>
  <c r="I124" i="44"/>
  <c r="B125" i="44"/>
  <c r="E125" i="44"/>
  <c r="F125" i="44" s="1"/>
  <c r="E126" i="13"/>
  <c r="F126" i="13" s="1"/>
  <c r="J125" i="46"/>
  <c r="G44" i="44" l="1"/>
  <c r="I44" i="44" s="1"/>
  <c r="D45" i="44"/>
  <c r="I54" i="9"/>
  <c r="H43" i="41"/>
  <c r="I43" i="41" s="1"/>
  <c r="H43" i="42"/>
  <c r="I43" i="42" s="1"/>
  <c r="G48" i="27"/>
  <c r="D49" i="27"/>
  <c r="E49" i="27"/>
  <c r="H48" i="27"/>
  <c r="H44" i="38"/>
  <c r="I44" i="38" s="1"/>
  <c r="H44" i="39"/>
  <c r="I44" i="39" s="1"/>
  <c r="J125" i="45"/>
  <c r="D127" i="45"/>
  <c r="G126" i="45"/>
  <c r="D45" i="45"/>
  <c r="E45" i="45" s="1"/>
  <c r="H44" i="45"/>
  <c r="G44" i="45"/>
  <c r="G51" i="22"/>
  <c r="D52" i="22"/>
  <c r="E52" i="22" s="1"/>
  <c r="H51" i="22"/>
  <c r="D44" i="40"/>
  <c r="E44" i="40"/>
  <c r="D43" i="43"/>
  <c r="E43" i="43" s="1"/>
  <c r="D46" i="37"/>
  <c r="E46" i="37"/>
  <c r="H50" i="23"/>
  <c r="G50" i="23"/>
  <c r="D51" i="23"/>
  <c r="E51" i="23"/>
  <c r="D47" i="30"/>
  <c r="E47" i="30" s="1"/>
  <c r="H46" i="30"/>
  <c r="G46" i="30"/>
  <c r="G52" i="3"/>
  <c r="D53" i="3"/>
  <c r="H52" i="3"/>
  <c r="E53" i="3"/>
  <c r="B44" i="46"/>
  <c r="F44" i="46"/>
  <c r="G44" i="46" s="1"/>
  <c r="G53" i="8"/>
  <c r="H53" i="8"/>
  <c r="D54" i="8"/>
  <c r="E54" i="8"/>
  <c r="D45" i="38"/>
  <c r="E45" i="38" s="1"/>
  <c r="H56" i="10"/>
  <c r="D57" i="10"/>
  <c r="E57" i="10" s="1"/>
  <c r="G56" i="10"/>
  <c r="H53" i="6"/>
  <c r="D54" i="6"/>
  <c r="E54" i="6" s="1"/>
  <c r="G53" i="6"/>
  <c r="B45" i="13"/>
  <c r="G54" i="11"/>
  <c r="H54" i="11"/>
  <c r="D55" i="11"/>
  <c r="E55" i="11"/>
  <c r="D45" i="39"/>
  <c r="E45" i="39" s="1"/>
  <c r="D48" i="31"/>
  <c r="E48" i="31" s="1"/>
  <c r="G47" i="31"/>
  <c r="H47" i="31"/>
  <c r="H52" i="5"/>
  <c r="D53" i="5"/>
  <c r="E53" i="5" s="1"/>
  <c r="G52" i="5"/>
  <c r="H55" i="7"/>
  <c r="G55" i="7"/>
  <c r="D56" i="7"/>
  <c r="E56" i="7"/>
  <c r="H43" i="40"/>
  <c r="I43" i="40" s="1"/>
  <c r="D48" i="29"/>
  <c r="E48" i="29" s="1"/>
  <c r="H47" i="29"/>
  <c r="G47" i="29"/>
  <c r="H42" i="43"/>
  <c r="I42" i="43" s="1"/>
  <c r="G45" i="37"/>
  <c r="I45" i="37" s="1"/>
  <c r="H49" i="24"/>
  <c r="D50" i="24"/>
  <c r="E50" i="24" s="1"/>
  <c r="G49" i="24"/>
  <c r="D44" i="41"/>
  <c r="E44" i="41"/>
  <c r="G51" i="25"/>
  <c r="H51" i="25"/>
  <c r="D52" i="25"/>
  <c r="E52" i="25"/>
  <c r="G47" i="28"/>
  <c r="H47" i="28"/>
  <c r="D48" i="28"/>
  <c r="E48" i="28"/>
  <c r="E45" i="13"/>
  <c r="F45" i="13" s="1"/>
  <c r="F55" i="9"/>
  <c r="B55" i="9"/>
  <c r="H52" i="4"/>
  <c r="D53" i="4"/>
  <c r="E53" i="4" s="1"/>
  <c r="G52" i="4"/>
  <c r="D44" i="42"/>
  <c r="E44" i="42"/>
  <c r="G125" i="44"/>
  <c r="D126" i="44"/>
  <c r="E126" i="44" s="1"/>
  <c r="H126" i="46"/>
  <c r="I126" i="46"/>
  <c r="J125" i="13"/>
  <c r="D127" i="13"/>
  <c r="G126" i="13"/>
  <c r="J124" i="44"/>
  <c r="F127" i="46"/>
  <c r="B127" i="46"/>
  <c r="E45" i="44" l="1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B49" i="27"/>
  <c r="I47" i="29"/>
  <c r="I54" i="11"/>
  <c r="I46" i="30"/>
  <c r="I126" i="45"/>
  <c r="H126" i="45"/>
  <c r="E127" i="45"/>
  <c r="F127" i="45" s="1"/>
  <c r="B127" i="45"/>
  <c r="D46" i="13"/>
  <c r="E46" i="13" s="1"/>
  <c r="G45" i="13"/>
  <c r="H45" i="13"/>
  <c r="I45" i="13" s="1"/>
  <c r="B44" i="41"/>
  <c r="F44" i="41"/>
  <c r="G44" i="41" s="1"/>
  <c r="B45" i="38"/>
  <c r="F45" i="38"/>
  <c r="G45" i="38" s="1"/>
  <c r="H55" i="9"/>
  <c r="G55" i="9"/>
  <c r="D56" i="9"/>
  <c r="E56" i="9" s="1"/>
  <c r="B50" i="24"/>
  <c r="F50" i="24"/>
  <c r="B48" i="29"/>
  <c r="F48" i="29"/>
  <c r="B53" i="5"/>
  <c r="F53" i="5"/>
  <c r="I47" i="31"/>
  <c r="B45" i="39"/>
  <c r="F45" i="39"/>
  <c r="H45" i="39" s="1"/>
  <c r="F54" i="6"/>
  <c r="B54" i="6"/>
  <c r="I56" i="10"/>
  <c r="D45" i="46"/>
  <c r="E45" i="46" s="1"/>
  <c r="F52" i="22"/>
  <c r="B52" i="22"/>
  <c r="I44" i="45"/>
  <c r="F48" i="28"/>
  <c r="B48" i="28"/>
  <c r="B57" i="10"/>
  <c r="F57" i="10"/>
  <c r="F47" i="30"/>
  <c r="B47" i="30"/>
  <c r="B43" i="43"/>
  <c r="F43" i="43"/>
  <c r="G43" i="43" s="1"/>
  <c r="B53" i="4"/>
  <c r="F53" i="4"/>
  <c r="I49" i="24"/>
  <c r="I55" i="7"/>
  <c r="I53" i="6"/>
  <c r="B54" i="8"/>
  <c r="F54" i="8"/>
  <c r="I52" i="3"/>
  <c r="F51" i="23"/>
  <c r="B51" i="23"/>
  <c r="B46" i="37"/>
  <c r="F46" i="37"/>
  <c r="G46" i="37" s="1"/>
  <c r="B44" i="40"/>
  <c r="F44" i="40"/>
  <c r="H44" i="40" s="1"/>
  <c r="F52" i="25"/>
  <c r="B52" i="25"/>
  <c r="F56" i="7"/>
  <c r="B56" i="7"/>
  <c r="F44" i="42"/>
  <c r="H44" i="42" s="1"/>
  <c r="B44" i="42"/>
  <c r="F48" i="31"/>
  <c r="B48" i="31"/>
  <c r="F55" i="11"/>
  <c r="B55" i="11"/>
  <c r="I53" i="8"/>
  <c r="F53" i="3"/>
  <c r="B53" i="3"/>
  <c r="F45" i="45"/>
  <c r="H45" i="45" s="1"/>
  <c r="B45" i="45"/>
  <c r="B127" i="13"/>
  <c r="B126" i="44"/>
  <c r="F126" i="44"/>
  <c r="D128" i="46"/>
  <c r="G127" i="46"/>
  <c r="H126" i="13"/>
  <c r="I126" i="13"/>
  <c r="H125" i="44"/>
  <c r="I125" i="44"/>
  <c r="E127" i="13"/>
  <c r="F127" i="13" s="1"/>
  <c r="J126" i="46"/>
  <c r="G45" i="39" l="1"/>
  <c r="G44" i="42"/>
  <c r="G45" i="44"/>
  <c r="I45" i="44" s="1"/>
  <c r="D46" i="44"/>
  <c r="H46" i="37"/>
  <c r="G45" i="45"/>
  <c r="H43" i="43"/>
  <c r="I43" i="43" s="1"/>
  <c r="I45" i="45"/>
  <c r="G49" i="27"/>
  <c r="H49" i="27"/>
  <c r="D50" i="27"/>
  <c r="I55" i="9"/>
  <c r="G127" i="45"/>
  <c r="D128" i="45"/>
  <c r="J126" i="45"/>
  <c r="G47" i="30"/>
  <c r="H47" i="30"/>
  <c r="D48" i="30"/>
  <c r="E48" i="30" s="1"/>
  <c r="D49" i="28"/>
  <c r="E49" i="28" s="1"/>
  <c r="G48" i="28"/>
  <c r="H48" i="28"/>
  <c r="D55" i="6"/>
  <c r="E55" i="6" s="1"/>
  <c r="G54" i="6"/>
  <c r="H54" i="6"/>
  <c r="D56" i="11"/>
  <c r="E56" i="11" s="1"/>
  <c r="G55" i="11"/>
  <c r="H55" i="11"/>
  <c r="I44" i="42"/>
  <c r="D57" i="7"/>
  <c r="E57" i="7" s="1"/>
  <c r="G56" i="7"/>
  <c r="H56" i="7"/>
  <c r="D45" i="40"/>
  <c r="E45" i="40"/>
  <c r="I46" i="37"/>
  <c r="G51" i="23"/>
  <c r="H51" i="23"/>
  <c r="D52" i="23"/>
  <c r="E52" i="23" s="1"/>
  <c r="D54" i="4"/>
  <c r="E54" i="4" s="1"/>
  <c r="G53" i="4"/>
  <c r="H53" i="4"/>
  <c r="G57" i="10"/>
  <c r="D58" i="10"/>
  <c r="E58" i="10" s="1"/>
  <c r="H57" i="10"/>
  <c r="D46" i="38"/>
  <c r="E46" i="38"/>
  <c r="D45" i="41"/>
  <c r="E45" i="41"/>
  <c r="H54" i="8"/>
  <c r="D55" i="8"/>
  <c r="G54" i="8"/>
  <c r="E55" i="8"/>
  <c r="F56" i="9"/>
  <c r="B56" i="9"/>
  <c r="G53" i="3"/>
  <c r="D54" i="3"/>
  <c r="H53" i="3"/>
  <c r="E54" i="3"/>
  <c r="D45" i="42"/>
  <c r="E45" i="42" s="1"/>
  <c r="G44" i="40"/>
  <c r="I44" i="40" s="1"/>
  <c r="D47" i="37"/>
  <c r="E47" i="37" s="1"/>
  <c r="D46" i="39"/>
  <c r="E46" i="39"/>
  <c r="D54" i="5"/>
  <c r="E54" i="5" s="1"/>
  <c r="G53" i="5"/>
  <c r="H53" i="5"/>
  <c r="G50" i="24"/>
  <c r="D51" i="24"/>
  <c r="E51" i="24" s="1"/>
  <c r="H50" i="24"/>
  <c r="H44" i="41"/>
  <c r="I44" i="41" s="1"/>
  <c r="B45" i="46"/>
  <c r="F45" i="46"/>
  <c r="H48" i="29"/>
  <c r="G48" i="29"/>
  <c r="D49" i="29"/>
  <c r="E49" i="29" s="1"/>
  <c r="D46" i="45"/>
  <c r="D49" i="31"/>
  <c r="E49" i="31" s="1"/>
  <c r="H48" i="31"/>
  <c r="G48" i="31"/>
  <c r="H52" i="25"/>
  <c r="D53" i="25"/>
  <c r="E53" i="25" s="1"/>
  <c r="G52" i="25"/>
  <c r="D44" i="43"/>
  <c r="E44" i="43" s="1"/>
  <c r="H52" i="22"/>
  <c r="G52" i="22"/>
  <c r="D53" i="22"/>
  <c r="E53" i="22" s="1"/>
  <c r="I45" i="39"/>
  <c r="H45" i="38"/>
  <c r="I45" i="38" s="1"/>
  <c r="F46" i="13"/>
  <c r="G46" i="13" s="1"/>
  <c r="H46" i="13"/>
  <c r="B46" i="13"/>
  <c r="J125" i="44"/>
  <c r="J126" i="13"/>
  <c r="G127" i="13"/>
  <c r="D128" i="13"/>
  <c r="E128" i="13" s="1"/>
  <c r="H127" i="46"/>
  <c r="I127" i="46"/>
  <c r="G126" i="44"/>
  <c r="D127" i="44"/>
  <c r="E127" i="44" s="1"/>
  <c r="B128" i="46"/>
  <c r="E128" i="46"/>
  <c r="F128" i="46" s="1"/>
  <c r="E46" i="44" l="1"/>
  <c r="F46" i="44" s="1"/>
  <c r="B46" i="44"/>
  <c r="I47" i="30"/>
  <c r="I48" i="31"/>
  <c r="I52" i="25"/>
  <c r="I46" i="13"/>
  <c r="I51" i="23"/>
  <c r="B50" i="27"/>
  <c r="I53" i="3"/>
  <c r="I49" i="27"/>
  <c r="I50" i="24"/>
  <c r="I54" i="8"/>
  <c r="E50" i="27"/>
  <c r="F50" i="27" s="1"/>
  <c r="E128" i="45"/>
  <c r="F128" i="45" s="1"/>
  <c r="B128" i="45"/>
  <c r="I127" i="45"/>
  <c r="H127" i="45"/>
  <c r="F49" i="31"/>
  <c r="B49" i="31"/>
  <c r="D46" i="46"/>
  <c r="D57" i="9"/>
  <c r="E57" i="9" s="1"/>
  <c r="H56" i="9"/>
  <c r="G56" i="9"/>
  <c r="F55" i="8"/>
  <c r="B55" i="8"/>
  <c r="F45" i="41"/>
  <c r="B45" i="41"/>
  <c r="F54" i="4"/>
  <c r="B54" i="4"/>
  <c r="F45" i="40"/>
  <c r="G45" i="40"/>
  <c r="B45" i="40"/>
  <c r="B57" i="7"/>
  <c r="F57" i="7"/>
  <c r="B49" i="29"/>
  <c r="F49" i="29"/>
  <c r="I52" i="22"/>
  <c r="B46" i="45"/>
  <c r="G45" i="46"/>
  <c r="F46" i="39"/>
  <c r="B46" i="39"/>
  <c r="B54" i="3"/>
  <c r="F54" i="3"/>
  <c r="I57" i="10"/>
  <c r="F56" i="11"/>
  <c r="B56" i="11"/>
  <c r="B55" i="6"/>
  <c r="F55" i="6"/>
  <c r="B49" i="28"/>
  <c r="F49" i="28"/>
  <c r="D47" i="13"/>
  <c r="E47" i="13" s="1"/>
  <c r="E46" i="45"/>
  <c r="F46" i="45" s="1"/>
  <c r="I48" i="29"/>
  <c r="B51" i="24"/>
  <c r="F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53" i="22"/>
  <c r="F44" i="43"/>
  <c r="B44" i="43"/>
  <c r="B53" i="25"/>
  <c r="F53" i="25"/>
  <c r="H45" i="46"/>
  <c r="F54" i="5"/>
  <c r="B54" i="5"/>
  <c r="B58" i="10"/>
  <c r="F58" i="10"/>
  <c r="B52" i="23"/>
  <c r="F52" i="23"/>
  <c r="I55" i="11"/>
  <c r="I54" i="6"/>
  <c r="I48" i="28"/>
  <c r="B48" i="30"/>
  <c r="F48" i="30"/>
  <c r="J127" i="46"/>
  <c r="D129" i="46"/>
  <c r="E129" i="46" s="1"/>
  <c r="G128" i="46"/>
  <c r="B127" i="44"/>
  <c r="F127" i="44"/>
  <c r="F128" i="13"/>
  <c r="B128" i="13"/>
  <c r="H126" i="44"/>
  <c r="I126" i="44"/>
  <c r="H127" i="13"/>
  <c r="I127" i="13"/>
  <c r="H46" i="44" l="1"/>
  <c r="D47" i="44"/>
  <c r="G46" i="44"/>
  <c r="G47" i="37"/>
  <c r="I47" i="37" s="1"/>
  <c r="I45" i="46"/>
  <c r="H50" i="27"/>
  <c r="G50" i="27"/>
  <c r="D51" i="27"/>
  <c r="J127" i="45"/>
  <c r="G128" i="45"/>
  <c r="D129" i="45"/>
  <c r="D47" i="45"/>
  <c r="E47" i="45" s="1"/>
  <c r="H46" i="45"/>
  <c r="G46" i="45"/>
  <c r="D49" i="30"/>
  <c r="G48" i="30"/>
  <c r="H48" i="30"/>
  <c r="E49" i="30"/>
  <c r="D54" i="25"/>
  <c r="G53" i="25"/>
  <c r="H53" i="25"/>
  <c r="E54" i="25"/>
  <c r="D45" i="43"/>
  <c r="E45" i="43"/>
  <c r="D50" i="28"/>
  <c r="E50" i="28" s="1"/>
  <c r="G49" i="28"/>
  <c r="H49" i="28"/>
  <c r="H54" i="3"/>
  <c r="D55" i="3"/>
  <c r="E55" i="3" s="1"/>
  <c r="G54" i="3"/>
  <c r="D47" i="39"/>
  <c r="E47" i="39"/>
  <c r="H49" i="29"/>
  <c r="D50" i="29"/>
  <c r="G49" i="29"/>
  <c r="E50" i="29"/>
  <c r="D46" i="41"/>
  <c r="E46" i="41"/>
  <c r="B46" i="46"/>
  <c r="G52" i="23"/>
  <c r="D53" i="23"/>
  <c r="H52" i="23"/>
  <c r="E53" i="23"/>
  <c r="H44" i="43"/>
  <c r="D47" i="38"/>
  <c r="E47" i="38"/>
  <c r="D46" i="42"/>
  <c r="E46" i="42"/>
  <c r="D57" i="11"/>
  <c r="G56" i="11"/>
  <c r="H56" i="11"/>
  <c r="E57" i="11"/>
  <c r="H46" i="39"/>
  <c r="G54" i="4"/>
  <c r="D55" i="4"/>
  <c r="E55" i="4" s="1"/>
  <c r="H54" i="4"/>
  <c r="G45" i="41"/>
  <c r="E46" i="46"/>
  <c r="F46" i="46" s="1"/>
  <c r="D55" i="5"/>
  <c r="E55" i="5" s="1"/>
  <c r="G54" i="5"/>
  <c r="H54" i="5"/>
  <c r="G44" i="43"/>
  <c r="H53" i="22"/>
  <c r="G53" i="22"/>
  <c r="D54" i="22"/>
  <c r="E54" i="22"/>
  <c r="H45" i="42"/>
  <c r="I45" i="42" s="1"/>
  <c r="G51" i="24"/>
  <c r="D52" i="24"/>
  <c r="E52" i="24" s="1"/>
  <c r="H51" i="24"/>
  <c r="G55" i="6"/>
  <c r="H55" i="6"/>
  <c r="D56" i="6"/>
  <c r="E56" i="6" s="1"/>
  <c r="G46" i="39"/>
  <c r="G57" i="7"/>
  <c r="D58" i="7"/>
  <c r="E58" i="7" s="1"/>
  <c r="H57" i="7"/>
  <c r="D46" i="40"/>
  <c r="E46" i="40"/>
  <c r="H45" i="41"/>
  <c r="I56" i="9"/>
  <c r="G58" i="10"/>
  <c r="H58" i="10"/>
  <c r="D59" i="10"/>
  <c r="E59" i="10" s="1"/>
  <c r="G46" i="38"/>
  <c r="I46" i="38" s="1"/>
  <c r="D48" i="37"/>
  <c r="E48" i="37" s="1"/>
  <c r="B47" i="13"/>
  <c r="F47" i="13"/>
  <c r="G47" i="13" s="1"/>
  <c r="H45" i="40"/>
  <c r="I45" i="40" s="1"/>
  <c r="H55" i="8"/>
  <c r="G55" i="8"/>
  <c r="D56" i="8"/>
  <c r="E56" i="8"/>
  <c r="F57" i="9"/>
  <c r="B57" i="9"/>
  <c r="H49" i="31"/>
  <c r="G49" i="31"/>
  <c r="D50" i="31"/>
  <c r="E50" i="31" s="1"/>
  <c r="J127" i="13"/>
  <c r="J126" i="44"/>
  <c r="G128" i="13"/>
  <c r="D129" i="13"/>
  <c r="E129" i="13" s="1"/>
  <c r="H128" i="46"/>
  <c r="I128" i="46"/>
  <c r="F129" i="46"/>
  <c r="B129" i="46"/>
  <c r="D128" i="44"/>
  <c r="G127" i="44"/>
  <c r="I53" i="25" l="1"/>
  <c r="I48" i="30"/>
  <c r="E47" i="44"/>
  <c r="F47" i="44" s="1"/>
  <c r="B47" i="44"/>
  <c r="I46" i="44"/>
  <c r="I55" i="8"/>
  <c r="B51" i="27"/>
  <c r="E51" i="27"/>
  <c r="F51" i="27" s="1"/>
  <c r="I49" i="31"/>
  <c r="I52" i="23"/>
  <c r="I45" i="41"/>
  <c r="I57" i="7"/>
  <c r="I53" i="22"/>
  <c r="I49" i="29"/>
  <c r="I49" i="28"/>
  <c r="I50" i="27"/>
  <c r="E129" i="45"/>
  <c r="F129" i="45" s="1"/>
  <c r="B129" i="45"/>
  <c r="H128" i="45"/>
  <c r="I128" i="45"/>
  <c r="D47" i="46"/>
  <c r="E47" i="46" s="1"/>
  <c r="H46" i="46"/>
  <c r="G46" i="46"/>
  <c r="F50" i="31"/>
  <c r="B50" i="31"/>
  <c r="H47" i="13"/>
  <c r="I47" i="13" s="1"/>
  <c r="I58" i="10"/>
  <c r="F46" i="41"/>
  <c r="G46" i="41" s="1"/>
  <c r="B46" i="41"/>
  <c r="F45" i="43"/>
  <c r="G45" i="43" s="1"/>
  <c r="B45" i="43"/>
  <c r="F54" i="25"/>
  <c r="B54" i="25"/>
  <c r="F49" i="30"/>
  <c r="B49" i="30"/>
  <c r="B56" i="8"/>
  <c r="F56" i="8"/>
  <c r="I46" i="39"/>
  <c r="B57" i="11"/>
  <c r="F57" i="11"/>
  <c r="B47" i="38"/>
  <c r="F47" i="38"/>
  <c r="B53" i="23"/>
  <c r="F53" i="23"/>
  <c r="B55" i="3"/>
  <c r="F55" i="3"/>
  <c r="F47" i="45"/>
  <c r="H47" i="45" s="1"/>
  <c r="B47" i="45"/>
  <c r="F59" i="10"/>
  <c r="B59" i="10"/>
  <c r="B58" i="7"/>
  <c r="F58" i="7"/>
  <c r="F56" i="6"/>
  <c r="B56" i="6"/>
  <c r="I51" i="24"/>
  <c r="F55" i="5"/>
  <c r="B55" i="5"/>
  <c r="I54" i="4"/>
  <c r="I44" i="43"/>
  <c r="F47" i="39"/>
  <c r="H47" i="39" s="1"/>
  <c r="B47" i="39"/>
  <c r="I54" i="3"/>
  <c r="F50" i="28"/>
  <c r="B50" i="28"/>
  <c r="G57" i="9"/>
  <c r="H57" i="9"/>
  <c r="D58" i="9"/>
  <c r="E58" i="9" s="1"/>
  <c r="D48" i="13"/>
  <c r="E48" i="13" s="1"/>
  <c r="F48" i="37"/>
  <c r="G48" i="37" s="1"/>
  <c r="B48" i="37"/>
  <c r="B46" i="40"/>
  <c r="F46" i="40"/>
  <c r="I55" i="6"/>
  <c r="B52" i="24"/>
  <c r="F52" i="24"/>
  <c r="B54" i="22"/>
  <c r="F54" i="22"/>
  <c r="B55" i="4"/>
  <c r="F55" i="4"/>
  <c r="I56" i="11"/>
  <c r="B46" i="42"/>
  <c r="F46" i="42"/>
  <c r="H46" i="42" s="1"/>
  <c r="F50" i="29"/>
  <c r="B50" i="29"/>
  <c r="I46" i="45"/>
  <c r="J128" i="46"/>
  <c r="B128" i="44"/>
  <c r="D130" i="46"/>
  <c r="E130" i="46" s="1"/>
  <c r="G129" i="46"/>
  <c r="I127" i="44"/>
  <c r="H127" i="44"/>
  <c r="F129" i="13"/>
  <c r="B129" i="13"/>
  <c r="E128" i="44"/>
  <c r="F128" i="44" s="1"/>
  <c r="H128" i="13"/>
  <c r="I128" i="13"/>
  <c r="H47" i="44" l="1"/>
  <c r="G47" i="44"/>
  <c r="I47" i="44" s="1"/>
  <c r="D48" i="44"/>
  <c r="D52" i="27"/>
  <c r="G51" i="27"/>
  <c r="E52" i="27"/>
  <c r="H51" i="27"/>
  <c r="H46" i="41"/>
  <c r="I46" i="41" s="1"/>
  <c r="J128" i="45"/>
  <c r="D130" i="45"/>
  <c r="G129" i="45"/>
  <c r="H55" i="4"/>
  <c r="G55" i="4"/>
  <c r="D56" i="4"/>
  <c r="E56" i="4" s="1"/>
  <c r="H52" i="24"/>
  <c r="G52" i="24"/>
  <c r="D53" i="24"/>
  <c r="E53" i="24" s="1"/>
  <c r="D47" i="40"/>
  <c r="E47" i="40"/>
  <c r="D48" i="38"/>
  <c r="E48" i="38" s="1"/>
  <c r="D47" i="42"/>
  <c r="E47" i="42"/>
  <c r="G46" i="40"/>
  <c r="D48" i="45"/>
  <c r="E48" i="45" s="1"/>
  <c r="D54" i="23"/>
  <c r="E54" i="23" s="1"/>
  <c r="G53" i="23"/>
  <c r="H53" i="23"/>
  <c r="H47" i="38"/>
  <c r="D50" i="30"/>
  <c r="E50" i="30" s="1"/>
  <c r="G49" i="30"/>
  <c r="H49" i="30"/>
  <c r="I46" i="46"/>
  <c r="G50" i="29"/>
  <c r="H50" i="29"/>
  <c r="D51" i="29"/>
  <c r="E51" i="29"/>
  <c r="G54" i="22"/>
  <c r="H54" i="22"/>
  <c r="D55" i="22"/>
  <c r="E55" i="22"/>
  <c r="D49" i="37"/>
  <c r="E49" i="37"/>
  <c r="F58" i="9"/>
  <c r="B58" i="9"/>
  <c r="G50" i="28"/>
  <c r="D51" i="28"/>
  <c r="H50" i="28"/>
  <c r="E51" i="28"/>
  <c r="D48" i="39"/>
  <c r="E48" i="39"/>
  <c r="H56" i="6"/>
  <c r="G56" i="6"/>
  <c r="D57" i="6"/>
  <c r="E57" i="6"/>
  <c r="D60" i="10"/>
  <c r="E60" i="10" s="1"/>
  <c r="G59" i="10"/>
  <c r="H59" i="10"/>
  <c r="G47" i="45"/>
  <c r="I47" i="45" s="1"/>
  <c r="D57" i="8"/>
  <c r="E57" i="8" s="1"/>
  <c r="G56" i="8"/>
  <c r="H56" i="8"/>
  <c r="D46" i="43"/>
  <c r="E46" i="43" s="1"/>
  <c r="G46" i="42"/>
  <c r="I46" i="42" s="1"/>
  <c r="H46" i="40"/>
  <c r="H48" i="37"/>
  <c r="I48" i="37" s="1"/>
  <c r="F48" i="13"/>
  <c r="G48" i="13" s="1"/>
  <c r="B48" i="13"/>
  <c r="I57" i="9"/>
  <c r="G47" i="39"/>
  <c r="I47" i="39" s="1"/>
  <c r="D56" i="5"/>
  <c r="E56" i="5" s="1"/>
  <c r="G55" i="5"/>
  <c r="H55" i="5"/>
  <c r="D59" i="7"/>
  <c r="E59" i="7" s="1"/>
  <c r="G58" i="7"/>
  <c r="H58" i="7"/>
  <c r="G55" i="3"/>
  <c r="H55" i="3"/>
  <c r="D56" i="3"/>
  <c r="E56" i="3" s="1"/>
  <c r="G47" i="38"/>
  <c r="D58" i="11"/>
  <c r="E58" i="11" s="1"/>
  <c r="G57" i="11"/>
  <c r="H57" i="11"/>
  <c r="H54" i="25"/>
  <c r="D55" i="25"/>
  <c r="G54" i="25"/>
  <c r="E55" i="25"/>
  <c r="H45" i="43"/>
  <c r="I45" i="43" s="1"/>
  <c r="D47" i="41"/>
  <c r="E47" i="41" s="1"/>
  <c r="D51" i="31"/>
  <c r="E51" i="31" s="1"/>
  <c r="G50" i="31"/>
  <c r="H50" i="31"/>
  <c r="F47" i="46"/>
  <c r="H47" i="46" s="1"/>
  <c r="B47" i="46"/>
  <c r="D129" i="44"/>
  <c r="E129" i="44" s="1"/>
  <c r="G128" i="44"/>
  <c r="H129" i="46"/>
  <c r="I129" i="46"/>
  <c r="F130" i="46"/>
  <c r="B130" i="46"/>
  <c r="J128" i="13"/>
  <c r="G129" i="13"/>
  <c r="D130" i="13"/>
  <c r="E130" i="13" s="1"/>
  <c r="J127" i="44"/>
  <c r="E48" i="44" l="1"/>
  <c r="F48" i="44" s="1"/>
  <c r="B48" i="44"/>
  <c r="I49" i="30"/>
  <c r="I51" i="27"/>
  <c r="H48" i="13"/>
  <c r="I48" i="13" s="1"/>
  <c r="I54" i="22"/>
  <c r="I50" i="29"/>
  <c r="I59" i="10"/>
  <c r="I50" i="31"/>
  <c r="I58" i="7"/>
  <c r="I46" i="40"/>
  <c r="B52" i="27"/>
  <c r="F52" i="27"/>
  <c r="E130" i="45"/>
  <c r="F130" i="45" s="1"/>
  <c r="B130" i="45"/>
  <c r="H129" i="45"/>
  <c r="I129" i="45"/>
  <c r="G47" i="46"/>
  <c r="I47" i="46" s="1"/>
  <c r="I57" i="11"/>
  <c r="I56" i="8"/>
  <c r="F51" i="28"/>
  <c r="B51" i="28"/>
  <c r="F47" i="42"/>
  <c r="G47" i="42" s="1"/>
  <c r="B47" i="42"/>
  <c r="B53" i="24"/>
  <c r="F53" i="24"/>
  <c r="B56" i="4"/>
  <c r="F56" i="4"/>
  <c r="B47" i="41"/>
  <c r="F47" i="41"/>
  <c r="H47" i="41" s="1"/>
  <c r="B55" i="25"/>
  <c r="F55" i="25"/>
  <c r="F56" i="3"/>
  <c r="B56" i="3"/>
  <c r="D49" i="13"/>
  <c r="E49" i="13" s="1"/>
  <c r="F57" i="6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B58" i="11"/>
  <c r="I55" i="3"/>
  <c r="F46" i="43"/>
  <c r="G46" i="43" s="1"/>
  <c r="B46" i="43"/>
  <c r="B57" i="8"/>
  <c r="F57" i="8"/>
  <c r="B50" i="30"/>
  <c r="F50" i="30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B59" i="7"/>
  <c r="F59" i="7"/>
  <c r="B56" i="5"/>
  <c r="F56" i="5"/>
  <c r="B60" i="10"/>
  <c r="F60" i="10"/>
  <c r="I56" i="6"/>
  <c r="I50" i="28"/>
  <c r="G58" i="9"/>
  <c r="E59" i="9"/>
  <c r="H58" i="9"/>
  <c r="D59" i="9"/>
  <c r="B55" i="22"/>
  <c r="F55" i="22"/>
  <c r="B51" i="29"/>
  <c r="F51" i="29"/>
  <c r="I47" i="38"/>
  <c r="F54" i="23"/>
  <c r="B54" i="23"/>
  <c r="J129" i="46"/>
  <c r="D131" i="46"/>
  <c r="G130" i="46"/>
  <c r="B130" i="13"/>
  <c r="F130" i="13"/>
  <c r="H129" i="13"/>
  <c r="I129" i="13"/>
  <c r="H128" i="44"/>
  <c r="I128" i="44"/>
  <c r="F129" i="44"/>
  <c r="B129" i="44"/>
  <c r="G48" i="44" l="1"/>
  <c r="D49" i="44"/>
  <c r="H48" i="44"/>
  <c r="I58" i="9"/>
  <c r="H47" i="40"/>
  <c r="I47" i="40" s="1"/>
  <c r="G48" i="39"/>
  <c r="I48" i="39" s="1"/>
  <c r="G47" i="41"/>
  <c r="I47" i="41" s="1"/>
  <c r="D53" i="27"/>
  <c r="H52" i="27"/>
  <c r="E53" i="27"/>
  <c r="G52" i="27"/>
  <c r="J129" i="45"/>
  <c r="D131" i="45"/>
  <c r="G130" i="45"/>
  <c r="D47" i="43"/>
  <c r="E47" i="43"/>
  <c r="D50" i="37"/>
  <c r="E50" i="37"/>
  <c r="H55" i="25"/>
  <c r="G55" i="25"/>
  <c r="D56" i="25"/>
  <c r="E56" i="25"/>
  <c r="H53" i="24"/>
  <c r="D54" i="24"/>
  <c r="G53" i="24"/>
  <c r="E54" i="24"/>
  <c r="H54" i="23"/>
  <c r="D55" i="23"/>
  <c r="G54" i="23"/>
  <c r="E55" i="23"/>
  <c r="H60" i="10"/>
  <c r="G60" i="10"/>
  <c r="D61" i="10"/>
  <c r="E61" i="10"/>
  <c r="H59" i="7"/>
  <c r="D60" i="7"/>
  <c r="G59" i="7"/>
  <c r="E60" i="7"/>
  <c r="G50" i="30"/>
  <c r="H50" i="30"/>
  <c r="D51" i="30"/>
  <c r="E51" i="30"/>
  <c r="B49" i="13"/>
  <c r="F49" i="13"/>
  <c r="G49" i="13" s="1"/>
  <c r="D48" i="42"/>
  <c r="E48" i="42"/>
  <c r="G55" i="22"/>
  <c r="H55" i="22"/>
  <c r="D56" i="22"/>
  <c r="E56" i="22"/>
  <c r="F48" i="46"/>
  <c r="B48" i="46"/>
  <c r="D49" i="38"/>
  <c r="E49" i="38" s="1"/>
  <c r="D49" i="45"/>
  <c r="D49" i="39"/>
  <c r="E49" i="39"/>
  <c r="G56" i="4"/>
  <c r="H56" i="4"/>
  <c r="D57" i="4"/>
  <c r="E57" i="4"/>
  <c r="H51" i="29"/>
  <c r="D52" i="29"/>
  <c r="G51" i="29"/>
  <c r="E52" i="29"/>
  <c r="F59" i="9"/>
  <c r="B59" i="9"/>
  <c r="H56" i="5"/>
  <c r="D57" i="5"/>
  <c r="G56" i="5"/>
  <c r="E57" i="5"/>
  <c r="H51" i="31"/>
  <c r="D52" i="31"/>
  <c r="G51" i="31"/>
  <c r="E52" i="31"/>
  <c r="D48" i="40"/>
  <c r="E48" i="40" s="1"/>
  <c r="G48" i="38"/>
  <c r="I48" i="38" s="1"/>
  <c r="G57" i="8"/>
  <c r="D58" i="8"/>
  <c r="E58" i="8" s="1"/>
  <c r="H57" i="8"/>
  <c r="H46" i="43"/>
  <c r="I46" i="43" s="1"/>
  <c r="G58" i="11"/>
  <c r="H58" i="11"/>
  <c r="D59" i="11"/>
  <c r="E59" i="11"/>
  <c r="H48" i="45"/>
  <c r="I48" i="45" s="1"/>
  <c r="G49" i="37"/>
  <c r="I49" i="37" s="1"/>
  <c r="H57" i="6"/>
  <c r="D58" i="6"/>
  <c r="E58" i="6" s="1"/>
  <c r="G57" i="6"/>
  <c r="H56" i="3"/>
  <c r="G56" i="3"/>
  <c r="D57" i="3"/>
  <c r="E57" i="3" s="1"/>
  <c r="D48" i="41"/>
  <c r="E48" i="41"/>
  <c r="H47" i="42"/>
  <c r="I47" i="42" s="1"/>
  <c r="H51" i="28"/>
  <c r="D52" i="28"/>
  <c r="G51" i="28"/>
  <c r="E52" i="28"/>
  <c r="G129" i="44"/>
  <c r="D130" i="44"/>
  <c r="E130" i="44" s="1"/>
  <c r="J129" i="13"/>
  <c r="G130" i="13"/>
  <c r="D131" i="13"/>
  <c r="H130" i="46"/>
  <c r="I130" i="46"/>
  <c r="B131" i="46"/>
  <c r="J128" i="44"/>
  <c r="E131" i="46"/>
  <c r="F131" i="46" s="1"/>
  <c r="I48" i="44" l="1"/>
  <c r="E49" i="44"/>
  <c r="F49" i="44"/>
  <c r="B49" i="44"/>
  <c r="I56" i="4"/>
  <c r="I52" i="27"/>
  <c r="I59" i="7"/>
  <c r="F53" i="27"/>
  <c r="B53" i="27"/>
  <c r="I55" i="22"/>
  <c r="I50" i="30"/>
  <c r="B131" i="45"/>
  <c r="E131" i="45"/>
  <c r="F131" i="45" s="1"/>
  <c r="I130" i="45"/>
  <c r="H130" i="45"/>
  <c r="F57" i="3"/>
  <c r="B57" i="3"/>
  <c r="F58" i="8"/>
  <c r="B58" i="8"/>
  <c r="F48" i="40"/>
  <c r="G48" i="40" s="1"/>
  <c r="B48" i="40"/>
  <c r="I51" i="31"/>
  <c r="B51" i="30"/>
  <c r="F51" i="30"/>
  <c r="F47" i="43"/>
  <c r="B47" i="43"/>
  <c r="B58" i="6"/>
  <c r="F58" i="6"/>
  <c r="B57" i="4"/>
  <c r="F57" i="4"/>
  <c r="F49" i="39"/>
  <c r="B49" i="39"/>
  <c r="B49" i="38"/>
  <c r="F49" i="38"/>
  <c r="H49" i="38" s="1"/>
  <c r="D49" i="46"/>
  <c r="B56" i="22"/>
  <c r="F56" i="22"/>
  <c r="F48" i="42"/>
  <c r="B48" i="42"/>
  <c r="F60" i="7"/>
  <c r="B60" i="7"/>
  <c r="B61" i="10"/>
  <c r="F61" i="10"/>
  <c r="B56" i="25"/>
  <c r="F56" i="25"/>
  <c r="F52" i="28"/>
  <c r="B52" i="28"/>
  <c r="B48" i="41"/>
  <c r="F48" i="41"/>
  <c r="H48" i="41" s="1"/>
  <c r="I56" i="3"/>
  <c r="I57" i="6"/>
  <c r="B59" i="11"/>
  <c r="F59" i="11"/>
  <c r="F52" i="29"/>
  <c r="B52" i="29"/>
  <c r="B49" i="45"/>
  <c r="G48" i="46"/>
  <c r="D50" i="13"/>
  <c r="B55" i="23"/>
  <c r="F55" i="23"/>
  <c r="F54" i="24"/>
  <c r="B54" i="24"/>
  <c r="F50" i="37"/>
  <c r="H50" i="37" s="1"/>
  <c r="B50" i="37"/>
  <c r="I51" i="28"/>
  <c r="I58" i="11"/>
  <c r="I57" i="8"/>
  <c r="F52" i="31"/>
  <c r="B52" i="31"/>
  <c r="F57" i="5"/>
  <c r="B57" i="5"/>
  <c r="D60" i="9"/>
  <c r="E60" i="9" s="1"/>
  <c r="G59" i="9"/>
  <c r="H59" i="9"/>
  <c r="I51" i="29"/>
  <c r="E49" i="45"/>
  <c r="F49" i="45" s="1"/>
  <c r="H48" i="46"/>
  <c r="H49" i="13"/>
  <c r="I49" i="13" s="1"/>
  <c r="I60" i="10"/>
  <c r="I54" i="23"/>
  <c r="I53" i="24"/>
  <c r="I55" i="25"/>
  <c r="D132" i="46"/>
  <c r="G131" i="46"/>
  <c r="J130" i="46"/>
  <c r="J155" i="46" s="1"/>
  <c r="H130" i="13"/>
  <c r="I130" i="13"/>
  <c r="H129" i="44"/>
  <c r="I129" i="44"/>
  <c r="B131" i="13"/>
  <c r="E131" i="13"/>
  <c r="F131" i="13" s="1"/>
  <c r="B130" i="44"/>
  <c r="F130" i="44"/>
  <c r="H49" i="44" l="1"/>
  <c r="D50" i="44"/>
  <c r="G49" i="44"/>
  <c r="G49" i="38"/>
  <c r="I49" i="38" s="1"/>
  <c r="H48" i="40"/>
  <c r="G50" i="37"/>
  <c r="I50" i="37" s="1"/>
  <c r="I59" i="9"/>
  <c r="I48" i="46"/>
  <c r="G53" i="27"/>
  <c r="H53" i="27"/>
  <c r="I53" i="27" s="1"/>
  <c r="D54" i="27"/>
  <c r="J130" i="45"/>
  <c r="J155" i="45" s="1"/>
  <c r="D132" i="45"/>
  <c r="G131" i="45"/>
  <c r="D50" i="45"/>
  <c r="E50" i="45" s="1"/>
  <c r="H49" i="45"/>
  <c r="G49" i="45"/>
  <c r="F60" i="9"/>
  <c r="B60" i="9"/>
  <c r="D53" i="31"/>
  <c r="E53" i="31" s="1"/>
  <c r="G52" i="31"/>
  <c r="H52" i="31"/>
  <c r="B50" i="13"/>
  <c r="H52" i="29"/>
  <c r="G52" i="29"/>
  <c r="D53" i="29"/>
  <c r="E53" i="29"/>
  <c r="H60" i="7"/>
  <c r="D61" i="7"/>
  <c r="G60" i="7"/>
  <c r="E61" i="7"/>
  <c r="D49" i="42"/>
  <c r="E49" i="42" s="1"/>
  <c r="B49" i="46"/>
  <c r="D50" i="39"/>
  <c r="E50" i="39"/>
  <c r="D48" i="43"/>
  <c r="E48" i="43"/>
  <c r="G54" i="24"/>
  <c r="D55" i="24"/>
  <c r="H54" i="24"/>
  <c r="E55" i="24"/>
  <c r="E50" i="13"/>
  <c r="F50" i="13" s="1"/>
  <c r="H59" i="11"/>
  <c r="D60" i="11"/>
  <c r="E60" i="11" s="1"/>
  <c r="G59" i="11"/>
  <c r="H61" i="10"/>
  <c r="D62" i="10"/>
  <c r="E62" i="10"/>
  <c r="G61" i="10"/>
  <c r="H56" i="22"/>
  <c r="D57" i="22"/>
  <c r="E57" i="22" s="1"/>
  <c r="G56" i="22"/>
  <c r="H49" i="39"/>
  <c r="G57" i="4"/>
  <c r="H57" i="4"/>
  <c r="D58" i="4"/>
  <c r="E58" i="4"/>
  <c r="H47" i="43"/>
  <c r="G51" i="30"/>
  <c r="D52" i="30"/>
  <c r="H51" i="30"/>
  <c r="E52" i="30"/>
  <c r="D59" i="8"/>
  <c r="E59" i="8" s="1"/>
  <c r="G58" i="8"/>
  <c r="H58" i="8"/>
  <c r="H57" i="5"/>
  <c r="D58" i="5"/>
  <c r="E58" i="5" s="1"/>
  <c r="G57" i="5"/>
  <c r="G55" i="23"/>
  <c r="H55" i="23"/>
  <c r="D56" i="23"/>
  <c r="E56" i="23"/>
  <c r="D49" i="41"/>
  <c r="E49" i="41"/>
  <c r="D53" i="28"/>
  <c r="G52" i="28"/>
  <c r="H52" i="28"/>
  <c r="E53" i="28"/>
  <c r="G48" i="42"/>
  <c r="G49" i="39"/>
  <c r="I48" i="40"/>
  <c r="D51" i="37"/>
  <c r="E51" i="37" s="1"/>
  <c r="G48" i="41"/>
  <c r="I48" i="41" s="1"/>
  <c r="D57" i="25"/>
  <c r="E57" i="25" s="1"/>
  <c r="G56" i="25"/>
  <c r="H56" i="25"/>
  <c r="H48" i="42"/>
  <c r="E49" i="46"/>
  <c r="F49" i="46" s="1"/>
  <c r="D50" i="38"/>
  <c r="E50" i="38"/>
  <c r="D59" i="6"/>
  <c r="E59" i="6" s="1"/>
  <c r="H58" i="6"/>
  <c r="G58" i="6"/>
  <c r="G47" i="43"/>
  <c r="D49" i="40"/>
  <c r="E49" i="40"/>
  <c r="G57" i="3"/>
  <c r="H57" i="3"/>
  <c r="D58" i="3"/>
  <c r="E58" i="3" s="1"/>
  <c r="J129" i="44"/>
  <c r="J130" i="13"/>
  <c r="J155" i="13" s="1"/>
  <c r="G131" i="13"/>
  <c r="D132" i="13"/>
  <c r="B132" i="46"/>
  <c r="G130" i="44"/>
  <c r="D131" i="44"/>
  <c r="H131" i="46"/>
  <c r="I131" i="46"/>
  <c r="E132" i="46"/>
  <c r="F132" i="46" s="1"/>
  <c r="I49" i="44" l="1"/>
  <c r="E50" i="44"/>
  <c r="B50" i="44"/>
  <c r="F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I131" i="45"/>
  <c r="H131" i="45"/>
  <c r="E132" i="45"/>
  <c r="F132" i="45" s="1"/>
  <c r="B132" i="45"/>
  <c r="D50" i="46"/>
  <c r="E50" i="46" s="1"/>
  <c r="G49" i="46"/>
  <c r="H49" i="46"/>
  <c r="D51" i="13"/>
  <c r="E51" i="13" s="1"/>
  <c r="H50" i="13"/>
  <c r="G50" i="13"/>
  <c r="B59" i="6"/>
  <c r="F59" i="6"/>
  <c r="B57" i="25"/>
  <c r="F57" i="25"/>
  <c r="F53" i="28"/>
  <c r="B53" i="28"/>
  <c r="F56" i="23"/>
  <c r="B56" i="23"/>
  <c r="B52" i="30"/>
  <c r="F52" i="30"/>
  <c r="F58" i="4"/>
  <c r="B58" i="4"/>
  <c r="B55" i="24"/>
  <c r="F55" i="24"/>
  <c r="B61" i="7"/>
  <c r="F61" i="7"/>
  <c r="B59" i="8"/>
  <c r="F59" i="8"/>
  <c r="F48" i="43"/>
  <c r="H48" i="43" s="1"/>
  <c r="B48" i="43"/>
  <c r="F49" i="42"/>
  <c r="B49" i="42"/>
  <c r="B53" i="31"/>
  <c r="F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F58" i="5"/>
  <c r="I47" i="43"/>
  <c r="F57" i="22"/>
  <c r="B57" i="22"/>
  <c r="B62" i="10"/>
  <c r="F62" i="10"/>
  <c r="F58" i="3"/>
  <c r="B58" i="3"/>
  <c r="B49" i="40"/>
  <c r="F49" i="40"/>
  <c r="G49" i="40" s="1"/>
  <c r="I58" i="6"/>
  <c r="I49" i="39"/>
  <c r="F60" i="11"/>
  <c r="B60" i="11"/>
  <c r="I54" i="24"/>
  <c r="F50" i="39"/>
  <c r="H50" i="39" s="1"/>
  <c r="B50" i="39"/>
  <c r="F53" i="29"/>
  <c r="B53" i="29"/>
  <c r="I52" i="31"/>
  <c r="D61" i="9"/>
  <c r="E61" i="9" s="1"/>
  <c r="G60" i="9"/>
  <c r="H60" i="9"/>
  <c r="B50" i="45"/>
  <c r="F50" i="45"/>
  <c r="H50" i="45" s="1"/>
  <c r="G132" i="46"/>
  <c r="D133" i="46"/>
  <c r="I130" i="44"/>
  <c r="H130" i="44"/>
  <c r="B132" i="13"/>
  <c r="B131" i="44"/>
  <c r="I131" i="13"/>
  <c r="H131" i="13"/>
  <c r="E131" i="44"/>
  <c r="F131" i="44" s="1"/>
  <c r="E132" i="13"/>
  <c r="F132" i="13" s="1"/>
  <c r="H50" i="44" l="1"/>
  <c r="D51" i="44"/>
  <c r="G50" i="44"/>
  <c r="I49" i="46"/>
  <c r="G51" i="37"/>
  <c r="G50" i="45"/>
  <c r="I50" i="45" s="1"/>
  <c r="D55" i="27"/>
  <c r="G54" i="27"/>
  <c r="H54" i="27"/>
  <c r="H49" i="40"/>
  <c r="I49" i="40" s="1"/>
  <c r="H49" i="41"/>
  <c r="I49" i="41" s="1"/>
  <c r="I51" i="37"/>
  <c r="D133" i="45"/>
  <c r="G132" i="45"/>
  <c r="G53" i="29"/>
  <c r="H53" i="29"/>
  <c r="D54" i="29"/>
  <c r="E54" i="29"/>
  <c r="D51" i="39"/>
  <c r="E51" i="39"/>
  <c r="G62" i="10"/>
  <c r="D63" i="10"/>
  <c r="E63" i="10" s="1"/>
  <c r="H62" i="10"/>
  <c r="G53" i="31"/>
  <c r="H53" i="31"/>
  <c r="D54" i="31"/>
  <c r="E54" i="31" s="1"/>
  <c r="D50" i="42"/>
  <c r="E50" i="42"/>
  <c r="G61" i="7"/>
  <c r="H61" i="7"/>
  <c r="D62" i="7"/>
  <c r="E62" i="7" s="1"/>
  <c r="G57" i="25"/>
  <c r="H57" i="25"/>
  <c r="D58" i="25"/>
  <c r="E58" i="25" s="1"/>
  <c r="B61" i="9"/>
  <c r="F61" i="9"/>
  <c r="H58" i="5"/>
  <c r="D59" i="5"/>
  <c r="E59" i="5" s="1"/>
  <c r="G58" i="5"/>
  <c r="D51" i="38"/>
  <c r="E51" i="38" s="1"/>
  <c r="G49" i="42"/>
  <c r="D49" i="43"/>
  <c r="E49" i="43"/>
  <c r="D59" i="4"/>
  <c r="G58" i="4"/>
  <c r="H58" i="4"/>
  <c r="E59" i="4"/>
  <c r="G56" i="23"/>
  <c r="D57" i="23"/>
  <c r="H56" i="23"/>
  <c r="E57" i="23"/>
  <c r="I50" i="13"/>
  <c r="I60" i="9"/>
  <c r="D50" i="40"/>
  <c r="E50" i="40" s="1"/>
  <c r="D50" i="41"/>
  <c r="E50" i="41" s="1"/>
  <c r="H50" i="38"/>
  <c r="I50" i="38" s="1"/>
  <c r="H49" i="42"/>
  <c r="D60" i="8"/>
  <c r="G59" i="8"/>
  <c r="H59" i="8"/>
  <c r="E60" i="8"/>
  <c r="G55" i="24"/>
  <c r="H55" i="24"/>
  <c r="D56" i="24"/>
  <c r="E56" i="24" s="1"/>
  <c r="D53" i="30"/>
  <c r="H52" i="30"/>
  <c r="G52" i="30"/>
  <c r="E53" i="30"/>
  <c r="G59" i="6"/>
  <c r="H59" i="6"/>
  <c r="D60" i="6"/>
  <c r="E60" i="6" s="1"/>
  <c r="D51" i="45"/>
  <c r="E51" i="45" s="1"/>
  <c r="G50" i="39"/>
  <c r="I50" i="39" s="1"/>
  <c r="H60" i="11"/>
  <c r="D61" i="11"/>
  <c r="G60" i="11"/>
  <c r="E61" i="11"/>
  <c r="H58" i="3"/>
  <c r="D59" i="3"/>
  <c r="G58" i="3"/>
  <c r="E59" i="3"/>
  <c r="H57" i="22"/>
  <c r="D58" i="22"/>
  <c r="E58" i="22" s="1"/>
  <c r="G57" i="22"/>
  <c r="D52" i="37"/>
  <c r="E52" i="37" s="1"/>
  <c r="G48" i="43"/>
  <c r="I48" i="43" s="1"/>
  <c r="H53" i="28"/>
  <c r="D54" i="28"/>
  <c r="E54" i="28" s="1"/>
  <c r="G53" i="28"/>
  <c r="B51" i="13"/>
  <c r="F51" i="13"/>
  <c r="G51" i="13" s="1"/>
  <c r="F50" i="46"/>
  <c r="B50" i="46"/>
  <c r="J130" i="44"/>
  <c r="J155" i="44" s="1"/>
  <c r="D132" i="44"/>
  <c r="E132" i="44" s="1"/>
  <c r="G131" i="44"/>
  <c r="D133" i="13"/>
  <c r="E133" i="13" s="1"/>
  <c r="G132" i="13"/>
  <c r="B133" i="46"/>
  <c r="E133" i="46"/>
  <c r="F133" i="46" s="1"/>
  <c r="H132" i="46"/>
  <c r="I132" i="46"/>
  <c r="I59" i="6" l="1"/>
  <c r="I53" i="29"/>
  <c r="E51" i="44"/>
  <c r="F51" i="44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E133" i="45"/>
  <c r="F133" i="45" s="1"/>
  <c r="B133" i="45"/>
  <c r="I132" i="45"/>
  <c r="H132" i="45"/>
  <c r="B60" i="8"/>
  <c r="F60" i="8"/>
  <c r="F50" i="41"/>
  <c r="H50" i="41" s="1"/>
  <c r="B50" i="41"/>
  <c r="B59" i="4"/>
  <c r="F59" i="4"/>
  <c r="F49" i="43"/>
  <c r="H49" i="43" s="1"/>
  <c r="B49" i="43"/>
  <c r="F58" i="25"/>
  <c r="B58" i="25"/>
  <c r="F62" i="7"/>
  <c r="B62" i="7"/>
  <c r="B50" i="42"/>
  <c r="F50" i="42"/>
  <c r="H50" i="42" s="1"/>
  <c r="B54" i="29"/>
  <c r="F54" i="29"/>
  <c r="D51" i="46"/>
  <c r="E51" i="46" s="1"/>
  <c r="D52" i="13"/>
  <c r="F54" i="28"/>
  <c r="B54" i="28"/>
  <c r="F52" i="37"/>
  <c r="G52" i="37" s="1"/>
  <c r="B52" i="37"/>
  <c r="B58" i="22"/>
  <c r="F58" i="22"/>
  <c r="F60" i="6"/>
  <c r="B60" i="6"/>
  <c r="B56" i="24"/>
  <c r="F56" i="24"/>
  <c r="H61" i="9"/>
  <c r="D62" i="9"/>
  <c r="E62" i="9" s="1"/>
  <c r="G61" i="9"/>
  <c r="H50" i="46"/>
  <c r="I53" i="28"/>
  <c r="I57" i="22"/>
  <c r="F50" i="40"/>
  <c r="H50" i="40" s="1"/>
  <c r="B50" i="40"/>
  <c r="I56" i="23"/>
  <c r="F59" i="5"/>
  <c r="B59" i="5"/>
  <c r="B54" i="31"/>
  <c r="F54" i="31"/>
  <c r="I62" i="10"/>
  <c r="B51" i="39"/>
  <c r="F51" i="39"/>
  <c r="G50" i="46"/>
  <c r="H51" i="13"/>
  <c r="I51" i="13" s="1"/>
  <c r="F59" i="3"/>
  <c r="B59" i="3"/>
  <c r="F61" i="11"/>
  <c r="B61" i="11"/>
  <c r="F51" i="45"/>
  <c r="G51" i="45" s="1"/>
  <c r="B51" i="45"/>
  <c r="F53" i="30"/>
  <c r="B53" i="30"/>
  <c r="F57" i="23"/>
  <c r="B57" i="23"/>
  <c r="F51" i="38"/>
  <c r="G51" i="38" s="1"/>
  <c r="B51" i="38"/>
  <c r="I53" i="31"/>
  <c r="F63" i="10"/>
  <c r="B63" i="10"/>
  <c r="D134" i="46"/>
  <c r="E134" i="46" s="1"/>
  <c r="G133" i="46"/>
  <c r="B133" i="13"/>
  <c r="F133" i="13"/>
  <c r="H131" i="44"/>
  <c r="I131" i="44"/>
  <c r="I132" i="13"/>
  <c r="H132" i="13"/>
  <c r="B132" i="44"/>
  <c r="F132" i="44"/>
  <c r="H51" i="44" l="1"/>
  <c r="G51" i="44"/>
  <c r="D52" i="44"/>
  <c r="H51" i="45"/>
  <c r="H52" i="37"/>
  <c r="I52" i="37" s="1"/>
  <c r="G50" i="40"/>
  <c r="I50" i="40" s="1"/>
  <c r="H55" i="27"/>
  <c r="D56" i="27"/>
  <c r="E56" i="27" s="1"/>
  <c r="G55" i="27"/>
  <c r="I61" i="9"/>
  <c r="G133" i="45"/>
  <c r="D134" i="45"/>
  <c r="B134" i="45" s="1"/>
  <c r="H57" i="23"/>
  <c r="D58" i="23"/>
  <c r="G57" i="23"/>
  <c r="E58" i="23"/>
  <c r="G61" i="11"/>
  <c r="D62" i="11"/>
  <c r="E62" i="11" s="1"/>
  <c r="H61" i="11"/>
  <c r="G59" i="4"/>
  <c r="D60" i="4"/>
  <c r="E60" i="4" s="1"/>
  <c r="H59" i="4"/>
  <c r="H63" i="10"/>
  <c r="G63" i="10"/>
  <c r="D64" i="10"/>
  <c r="E64" i="10" s="1"/>
  <c r="D52" i="39"/>
  <c r="E52" i="39" s="1"/>
  <c r="G59" i="5"/>
  <c r="D60" i="5"/>
  <c r="E60" i="5" s="1"/>
  <c r="H59" i="5"/>
  <c r="I50" i="46"/>
  <c r="H60" i="6"/>
  <c r="D61" i="6"/>
  <c r="G60" i="6"/>
  <c r="E61" i="6"/>
  <c r="G54" i="28"/>
  <c r="D55" i="28"/>
  <c r="E55" i="28" s="1"/>
  <c r="H54" i="28"/>
  <c r="F51" i="46"/>
  <c r="B51" i="46"/>
  <c r="D51" i="42"/>
  <c r="E51" i="42"/>
  <c r="H62" i="7"/>
  <c r="D63" i="7"/>
  <c r="E63" i="7" s="1"/>
  <c r="G62" i="7"/>
  <c r="D51" i="41"/>
  <c r="E51" i="41"/>
  <c r="D52" i="38"/>
  <c r="E52" i="38"/>
  <c r="H51" i="38"/>
  <c r="I51" i="38" s="1"/>
  <c r="H53" i="30"/>
  <c r="G53" i="30"/>
  <c r="D54" i="30"/>
  <c r="E54" i="30"/>
  <c r="D52" i="45"/>
  <c r="E52" i="45" s="1"/>
  <c r="G59" i="3"/>
  <c r="D60" i="3"/>
  <c r="H59" i="3"/>
  <c r="E60" i="3"/>
  <c r="G51" i="39"/>
  <c r="G54" i="31"/>
  <c r="D55" i="31"/>
  <c r="E55" i="31" s="1"/>
  <c r="H54" i="31"/>
  <c r="D51" i="40"/>
  <c r="E51" i="40"/>
  <c r="G56" i="24"/>
  <c r="D57" i="24"/>
  <c r="H56" i="24"/>
  <c r="E57" i="24"/>
  <c r="G58" i="22"/>
  <c r="H58" i="22"/>
  <c r="D59" i="22"/>
  <c r="E59" i="22"/>
  <c r="B52" i="13"/>
  <c r="D55" i="29"/>
  <c r="E55" i="29" s="1"/>
  <c r="G54" i="29"/>
  <c r="H54" i="29"/>
  <c r="D50" i="43"/>
  <c r="E50" i="43" s="1"/>
  <c r="D61" i="8"/>
  <c r="G60" i="8"/>
  <c r="H60" i="8"/>
  <c r="E61" i="8"/>
  <c r="I51" i="45"/>
  <c r="H51" i="39"/>
  <c r="B62" i="9"/>
  <c r="F62" i="9"/>
  <c r="D53" i="37"/>
  <c r="E53" i="37" s="1"/>
  <c r="E52" i="13"/>
  <c r="F52" i="13" s="1"/>
  <c r="G50" i="42"/>
  <c r="I50" i="42" s="1"/>
  <c r="H58" i="25"/>
  <c r="D59" i="25"/>
  <c r="E59" i="25" s="1"/>
  <c r="G58" i="25"/>
  <c r="G49" i="43"/>
  <c r="I49" i="43" s="1"/>
  <c r="G50" i="41"/>
  <c r="I50" i="41" s="1"/>
  <c r="G133" i="13"/>
  <c r="D134" i="13"/>
  <c r="D133" i="44"/>
  <c r="G132" i="44"/>
  <c r="H133" i="46"/>
  <c r="I133" i="46"/>
  <c r="F134" i="46"/>
  <c r="B134" i="46"/>
  <c r="E52" i="44" l="1"/>
  <c r="B52" i="44"/>
  <c r="F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F56" i="27"/>
  <c r="I133" i="45"/>
  <c r="H133" i="45"/>
  <c r="E134" i="45"/>
  <c r="F134" i="45" s="1"/>
  <c r="D53" i="13"/>
  <c r="E53" i="13" s="1"/>
  <c r="H52" i="13"/>
  <c r="G52" i="13"/>
  <c r="I58" i="25"/>
  <c r="B54" i="30"/>
  <c r="F54" i="30"/>
  <c r="D52" i="46"/>
  <c r="F55" i="28"/>
  <c r="B55" i="28"/>
  <c r="F61" i="6"/>
  <c r="B61" i="6"/>
  <c r="B60" i="4"/>
  <c r="F60" i="4"/>
  <c r="H62" i="9"/>
  <c r="D63" i="9"/>
  <c r="E63" i="9"/>
  <c r="G62" i="9"/>
  <c r="F61" i="8"/>
  <c r="B61" i="8"/>
  <c r="I54" i="29"/>
  <c r="F52" i="38"/>
  <c r="H52" i="38" s="1"/>
  <c r="B52" i="38"/>
  <c r="F51" i="42"/>
  <c r="G51" i="42" s="1"/>
  <c r="B51" i="42"/>
  <c r="G51" i="46"/>
  <c r="F64" i="10"/>
  <c r="B64" i="10"/>
  <c r="B59" i="22"/>
  <c r="F59" i="22"/>
  <c r="F51" i="40"/>
  <c r="G51" i="40" s="1"/>
  <c r="B51" i="40"/>
  <c r="F55" i="31"/>
  <c r="B55" i="31"/>
  <c r="F52" i="45"/>
  <c r="G52" i="45" s="1"/>
  <c r="B52" i="45"/>
  <c r="F63" i="7"/>
  <c r="B63" i="7"/>
  <c r="B52" i="39"/>
  <c r="F52" i="39"/>
  <c r="H52" i="39" s="1"/>
  <c r="F62" i="11"/>
  <c r="B62" i="11"/>
  <c r="F58" i="23"/>
  <c r="B58" i="23"/>
  <c r="B59" i="25"/>
  <c r="F59" i="25"/>
  <c r="B53" i="37"/>
  <c r="F53" i="37"/>
  <c r="H53" i="37" s="1"/>
  <c r="F50" i="43"/>
  <c r="G50" i="43" s="1"/>
  <c r="B50" i="43"/>
  <c r="B55" i="29"/>
  <c r="F55" i="29"/>
  <c r="I58" i="22"/>
  <c r="B57" i="24"/>
  <c r="F57" i="24"/>
  <c r="F60" i="3"/>
  <c r="B60" i="3"/>
  <c r="F51" i="41"/>
  <c r="G51" i="41" s="1"/>
  <c r="B51" i="41"/>
  <c r="I62" i="7"/>
  <c r="H51" i="46"/>
  <c r="I54" i="28"/>
  <c r="F60" i="5"/>
  <c r="B60" i="5"/>
  <c r="I59" i="4"/>
  <c r="I57" i="23"/>
  <c r="D135" i="46"/>
  <c r="G134" i="46"/>
  <c r="I132" i="44"/>
  <c r="H132" i="44"/>
  <c r="B133" i="44"/>
  <c r="B134" i="13"/>
  <c r="E133" i="44"/>
  <c r="F133" i="44" s="1"/>
  <c r="E134" i="13"/>
  <c r="F134" i="13" s="1"/>
  <c r="H133" i="13"/>
  <c r="I133" i="13"/>
  <c r="D53" i="44" l="1"/>
  <c r="G52" i="44"/>
  <c r="H52" i="44"/>
  <c r="I52" i="44" s="1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H56" i="27"/>
  <c r="G56" i="27"/>
  <c r="I52" i="13"/>
  <c r="G134" i="45"/>
  <c r="D135" i="45"/>
  <c r="H60" i="3"/>
  <c r="D61" i="3"/>
  <c r="E61" i="3" s="1"/>
  <c r="G60" i="3"/>
  <c r="D63" i="11"/>
  <c r="E63" i="11" s="1"/>
  <c r="G62" i="11"/>
  <c r="H62" i="11"/>
  <c r="D56" i="31"/>
  <c r="E56" i="31" s="1"/>
  <c r="G55" i="31"/>
  <c r="H55" i="31"/>
  <c r="D52" i="40"/>
  <c r="E52" i="40" s="1"/>
  <c r="D65" i="10"/>
  <c r="G64" i="10"/>
  <c r="H64" i="10"/>
  <c r="G52" i="38"/>
  <c r="I52" i="38" s="1"/>
  <c r="G61" i="8"/>
  <c r="D62" i="8"/>
  <c r="E62" i="8" s="1"/>
  <c r="H61" i="8"/>
  <c r="I62" i="9"/>
  <c r="G61" i="6"/>
  <c r="D62" i="6"/>
  <c r="E62" i="6" s="1"/>
  <c r="H61" i="6"/>
  <c r="B52" i="46"/>
  <c r="D52" i="41"/>
  <c r="E52" i="41" s="1"/>
  <c r="H55" i="29"/>
  <c r="D56" i="29"/>
  <c r="E56" i="29" s="1"/>
  <c r="G55" i="29"/>
  <c r="D60" i="22"/>
  <c r="H59" i="22"/>
  <c r="G59" i="22"/>
  <c r="E60" i="22"/>
  <c r="D52" i="42"/>
  <c r="E52" i="42"/>
  <c r="D61" i="4"/>
  <c r="E61" i="4" s="1"/>
  <c r="G60" i="4"/>
  <c r="H60" i="4"/>
  <c r="G54" i="30"/>
  <c r="D55" i="30"/>
  <c r="E55" i="30" s="1"/>
  <c r="H54" i="30"/>
  <c r="G60" i="5"/>
  <c r="D61" i="5"/>
  <c r="E61" i="5" s="1"/>
  <c r="H60" i="5"/>
  <c r="H51" i="41"/>
  <c r="I51" i="41" s="1"/>
  <c r="G57" i="24"/>
  <c r="D58" i="24"/>
  <c r="E58" i="24" s="1"/>
  <c r="H57" i="24"/>
  <c r="D51" i="43"/>
  <c r="E51" i="43"/>
  <c r="D59" i="23"/>
  <c r="G58" i="23"/>
  <c r="H58" i="23"/>
  <c r="E59" i="23"/>
  <c r="D53" i="39"/>
  <c r="E53" i="39" s="1"/>
  <c r="H63" i="7"/>
  <c r="G63" i="7"/>
  <c r="D64" i="7"/>
  <c r="E64" i="7" s="1"/>
  <c r="D53" i="45"/>
  <c r="E53" i="45" s="1"/>
  <c r="H55" i="28"/>
  <c r="G55" i="28"/>
  <c r="D56" i="28"/>
  <c r="E56" i="28" s="1"/>
  <c r="D54" i="37"/>
  <c r="E54" i="37"/>
  <c r="G59" i="25"/>
  <c r="H59" i="25"/>
  <c r="D60" i="25"/>
  <c r="E60" i="25"/>
  <c r="H51" i="42"/>
  <c r="I51" i="42" s="1"/>
  <c r="D53" i="38"/>
  <c r="E53" i="38" s="1"/>
  <c r="B63" i="9"/>
  <c r="F63" i="9"/>
  <c r="E52" i="46"/>
  <c r="F52" i="46" s="1"/>
  <c r="B53" i="13"/>
  <c r="F53" i="13"/>
  <c r="H53" i="13" s="1"/>
  <c r="D135" i="13"/>
  <c r="G134" i="13"/>
  <c r="D134" i="44"/>
  <c r="G133" i="44"/>
  <c r="H134" i="46"/>
  <c r="I134" i="46"/>
  <c r="B135" i="46"/>
  <c r="E135" i="46"/>
  <c r="F135" i="46" s="1"/>
  <c r="B53" i="44" l="1"/>
  <c r="E53" i="44"/>
  <c r="F53" i="44" s="1"/>
  <c r="I61" i="8"/>
  <c r="I56" i="27"/>
  <c r="I54" i="30"/>
  <c r="I57" i="24"/>
  <c r="I61" i="6"/>
  <c r="B57" i="27"/>
  <c r="E57" i="27"/>
  <c r="F57" i="27" s="1"/>
  <c r="I55" i="28"/>
  <c r="I60" i="4"/>
  <c r="I55" i="31"/>
  <c r="E135" i="45"/>
  <c r="F135" i="45" s="1"/>
  <c r="B135" i="45"/>
  <c r="H134" i="45"/>
  <c r="I134" i="45"/>
  <c r="D53" i="46"/>
  <c r="E53" i="46" s="1"/>
  <c r="H52" i="46"/>
  <c r="G52" i="46"/>
  <c r="F60" i="25"/>
  <c r="B60" i="25"/>
  <c r="B54" i="37"/>
  <c r="F54" i="37"/>
  <c r="G54" i="37" s="1"/>
  <c r="F52" i="42"/>
  <c r="H52" i="42" s="1"/>
  <c r="B52" i="42"/>
  <c r="F60" i="22"/>
  <c r="B60" i="22"/>
  <c r="I55" i="29"/>
  <c r="B65" i="10"/>
  <c r="I62" i="11"/>
  <c r="D54" i="13"/>
  <c r="E54" i="13" s="1"/>
  <c r="B53" i="38"/>
  <c r="F53" i="38"/>
  <c r="G53" i="38" s="1"/>
  <c r="I59" i="25"/>
  <c r="F64" i="7"/>
  <c r="B64" i="7"/>
  <c r="B53" i="39"/>
  <c r="F53" i="39"/>
  <c r="G53" i="39" s="1"/>
  <c r="B59" i="23"/>
  <c r="F59" i="23"/>
  <c r="B62" i="6"/>
  <c r="F62" i="6"/>
  <c r="I64" i="10"/>
  <c r="B61" i="3"/>
  <c r="F61" i="3"/>
  <c r="D64" i="9"/>
  <c r="E64" i="9" s="1"/>
  <c r="G63" i="9"/>
  <c r="H63" i="9"/>
  <c r="B56" i="28"/>
  <c r="F56" i="28"/>
  <c r="B58" i="24"/>
  <c r="F58" i="24"/>
  <c r="F61" i="4"/>
  <c r="B61" i="4"/>
  <c r="F52" i="41"/>
  <c r="H52" i="41" s="1"/>
  <c r="B52" i="41"/>
  <c r="B62" i="8"/>
  <c r="F62" i="8"/>
  <c r="B52" i="40"/>
  <c r="F52" i="40"/>
  <c r="G52" i="40" s="1"/>
  <c r="F56" i="31"/>
  <c r="B56" i="31"/>
  <c r="B63" i="11"/>
  <c r="F63" i="11"/>
  <c r="I60" i="3"/>
  <c r="G53" i="13"/>
  <c r="I53" i="13" s="1"/>
  <c r="B53" i="45"/>
  <c r="F53" i="45"/>
  <c r="G53" i="45" s="1"/>
  <c r="I63" i="7"/>
  <c r="I58" i="23"/>
  <c r="B51" i="43"/>
  <c r="F51" i="43"/>
  <c r="H51" i="43" s="1"/>
  <c r="B61" i="5"/>
  <c r="F61" i="5"/>
  <c r="B55" i="30"/>
  <c r="F55" i="30"/>
  <c r="I59" i="22"/>
  <c r="B56" i="29"/>
  <c r="F56" i="29"/>
  <c r="E65" i="10"/>
  <c r="F65" i="10" s="1"/>
  <c r="D136" i="46"/>
  <c r="E136" i="46" s="1"/>
  <c r="G135" i="46"/>
  <c r="B134" i="44"/>
  <c r="B135" i="13"/>
  <c r="E134" i="44"/>
  <c r="F134" i="44" s="1"/>
  <c r="I134" i="13"/>
  <c r="H134" i="13"/>
  <c r="H133" i="44"/>
  <c r="I133" i="44"/>
  <c r="E135" i="13"/>
  <c r="F135" i="13" s="1"/>
  <c r="G52" i="41" l="1"/>
  <c r="D54" i="44"/>
  <c r="H53" i="44"/>
  <c r="G53" i="44"/>
  <c r="I52" i="46"/>
  <c r="G51" i="43"/>
  <c r="I51" i="43" s="1"/>
  <c r="I63" i="9"/>
  <c r="D58" i="27"/>
  <c r="G57" i="27"/>
  <c r="E58" i="27"/>
  <c r="H57" i="27"/>
  <c r="H53" i="45"/>
  <c r="I53" i="45" s="1"/>
  <c r="I52" i="41"/>
  <c r="H53" i="39"/>
  <c r="I53" i="39" s="1"/>
  <c r="G52" i="42"/>
  <c r="I52" i="42" s="1"/>
  <c r="H54" i="37"/>
  <c r="I54" i="37" s="1"/>
  <c r="D136" i="45"/>
  <c r="G135" i="45"/>
  <c r="D66" i="10"/>
  <c r="E66" i="10" s="1"/>
  <c r="G65" i="10"/>
  <c r="H65" i="10"/>
  <c r="G56" i="29"/>
  <c r="H56" i="29"/>
  <c r="D57" i="29"/>
  <c r="E57" i="29" s="1"/>
  <c r="D53" i="40"/>
  <c r="E53" i="40" s="1"/>
  <c r="G59" i="23"/>
  <c r="H59" i="23"/>
  <c r="D60" i="23"/>
  <c r="E60" i="23" s="1"/>
  <c r="D61" i="22"/>
  <c r="E61" i="22" s="1"/>
  <c r="G60" i="22"/>
  <c r="H60" i="22"/>
  <c r="I60" i="22" s="1"/>
  <c r="D62" i="5"/>
  <c r="E62" i="5" s="1"/>
  <c r="G61" i="5"/>
  <c r="H61" i="5"/>
  <c r="H56" i="28"/>
  <c r="D57" i="28"/>
  <c r="E57" i="28" s="1"/>
  <c r="G56" i="28"/>
  <c r="D54" i="38"/>
  <c r="E54" i="38"/>
  <c r="H56" i="31"/>
  <c r="D57" i="31"/>
  <c r="E57" i="31" s="1"/>
  <c r="G56" i="31"/>
  <c r="H61" i="4"/>
  <c r="D62" i="4"/>
  <c r="E62" i="4" s="1"/>
  <c r="G61" i="4"/>
  <c r="F64" i="9"/>
  <c r="B64" i="9"/>
  <c r="G62" i="6"/>
  <c r="D63" i="6"/>
  <c r="H62" i="6"/>
  <c r="E63" i="6"/>
  <c r="D54" i="39"/>
  <c r="E54" i="39"/>
  <c r="F54" i="13"/>
  <c r="H54" i="13" s="1"/>
  <c r="B54" i="13"/>
  <c r="H60" i="25"/>
  <c r="D61" i="25"/>
  <c r="E61" i="25" s="1"/>
  <c r="G60" i="25"/>
  <c r="D56" i="30"/>
  <c r="E56" i="30" s="1"/>
  <c r="H55" i="30"/>
  <c r="G55" i="30"/>
  <c r="D52" i="43"/>
  <c r="E52" i="43" s="1"/>
  <c r="D54" i="45"/>
  <c r="E54" i="45" s="1"/>
  <c r="G63" i="11"/>
  <c r="H63" i="11"/>
  <c r="D64" i="11"/>
  <c r="E64" i="11" s="1"/>
  <c r="H52" i="40"/>
  <c r="I52" i="40" s="1"/>
  <c r="H62" i="8"/>
  <c r="D63" i="8"/>
  <c r="E63" i="8" s="1"/>
  <c r="G62" i="8"/>
  <c r="D53" i="41"/>
  <c r="E53" i="41"/>
  <c r="G58" i="24"/>
  <c r="D59" i="24"/>
  <c r="H58" i="24"/>
  <c r="E59" i="24"/>
  <c r="H61" i="3"/>
  <c r="D62" i="3"/>
  <c r="G61" i="3"/>
  <c r="E62" i="3"/>
  <c r="H64" i="7"/>
  <c r="D65" i="7"/>
  <c r="G64" i="7"/>
  <c r="H53" i="38"/>
  <c r="I53" i="38" s="1"/>
  <c r="D53" i="42"/>
  <c r="E53" i="42"/>
  <c r="D55" i="37"/>
  <c r="E55" i="37"/>
  <c r="F53" i="46"/>
  <c r="B53" i="46"/>
  <c r="G135" i="13"/>
  <c r="D136" i="13"/>
  <c r="D135" i="44"/>
  <c r="G134" i="44"/>
  <c r="I135" i="46"/>
  <c r="H135" i="46"/>
  <c r="F136" i="46"/>
  <c r="B136" i="46"/>
  <c r="I53" i="44" l="1"/>
  <c r="E54" i="44"/>
  <c r="B54" i="44"/>
  <c r="F54" i="44"/>
  <c r="I58" i="24"/>
  <c r="I62" i="6"/>
  <c r="I62" i="8"/>
  <c r="I56" i="31"/>
  <c r="I56" i="28"/>
  <c r="I61" i="4"/>
  <c r="I60" i="25"/>
  <c r="F58" i="27"/>
  <c r="B58" i="27"/>
  <c r="I63" i="11"/>
  <c r="I55" i="30"/>
  <c r="I65" i="10"/>
  <c r="I57" i="27"/>
  <c r="B136" i="45"/>
  <c r="E136" i="45"/>
  <c r="F136" i="45" s="1"/>
  <c r="H135" i="45"/>
  <c r="I135" i="45"/>
  <c r="D54" i="46"/>
  <c r="B65" i="7"/>
  <c r="F62" i="3"/>
  <c r="B62" i="3"/>
  <c r="F59" i="24"/>
  <c r="B59" i="24"/>
  <c r="F52" i="43"/>
  <c r="H52" i="43" s="1"/>
  <c r="B52" i="43"/>
  <c r="B56" i="30"/>
  <c r="F56" i="30"/>
  <c r="D55" i="13"/>
  <c r="E55" i="13" s="1"/>
  <c r="G64" i="9"/>
  <c r="H64" i="9"/>
  <c r="D65" i="9"/>
  <c r="F54" i="38"/>
  <c r="G54" i="38" s="1"/>
  <c r="B54" i="38"/>
  <c r="B57" i="28"/>
  <c r="F57" i="28"/>
  <c r="I59" i="23"/>
  <c r="F53" i="42"/>
  <c r="B53" i="42"/>
  <c r="G53" i="46"/>
  <c r="I64" i="7"/>
  <c r="I61" i="3"/>
  <c r="F63" i="6"/>
  <c r="B63" i="6"/>
  <c r="F62" i="5"/>
  <c r="B62" i="5"/>
  <c r="F61" i="22"/>
  <c r="B61" i="22"/>
  <c r="F57" i="29"/>
  <c r="B57" i="29"/>
  <c r="H53" i="46"/>
  <c r="B55" i="37"/>
  <c r="F55" i="37"/>
  <c r="H55" i="37" s="1"/>
  <c r="E65" i="7"/>
  <c r="F65" i="7" s="1"/>
  <c r="F63" i="8"/>
  <c r="B63" i="8"/>
  <c r="B64" i="11"/>
  <c r="F64" i="11"/>
  <c r="F54" i="45"/>
  <c r="G54" i="45" s="1"/>
  <c r="B54" i="45"/>
  <c r="G54" i="13"/>
  <c r="I54" i="13" s="1"/>
  <c r="B54" i="39"/>
  <c r="F54" i="39"/>
  <c r="G54" i="39" s="1"/>
  <c r="I56" i="29"/>
  <c r="F53" i="41"/>
  <c r="B53" i="41"/>
  <c r="F61" i="25"/>
  <c r="B61" i="25"/>
  <c r="B62" i="4"/>
  <c r="F62" i="4"/>
  <c r="F57" i="31"/>
  <c r="B57" i="31"/>
  <c r="B60" i="23"/>
  <c r="F60" i="23"/>
  <c r="B53" i="40"/>
  <c r="F53" i="40"/>
  <c r="G53" i="40" s="1"/>
  <c r="B66" i="10"/>
  <c r="F66" i="10"/>
  <c r="B135" i="44"/>
  <c r="B136" i="13"/>
  <c r="E135" i="44"/>
  <c r="F135" i="44" s="1"/>
  <c r="E136" i="13"/>
  <c r="F136" i="13" s="1"/>
  <c r="D137" i="46"/>
  <c r="E137" i="46" s="1"/>
  <c r="G136" i="46"/>
  <c r="I134" i="44"/>
  <c r="H134" i="44"/>
  <c r="H135" i="13"/>
  <c r="I135" i="13"/>
  <c r="G54" i="44" l="1"/>
  <c r="H54" i="44"/>
  <c r="I54" i="44" s="1"/>
  <c r="D55" i="44"/>
  <c r="G55" i="37"/>
  <c r="I64" i="9"/>
  <c r="G52" i="43"/>
  <c r="I52" i="43" s="1"/>
  <c r="I53" i="46"/>
  <c r="H54" i="38"/>
  <c r="I54" i="38" s="1"/>
  <c r="H54" i="39"/>
  <c r="I54" i="39" s="1"/>
  <c r="D59" i="27"/>
  <c r="E59" i="27" s="1"/>
  <c r="G58" i="27"/>
  <c r="H58" i="27"/>
  <c r="D137" i="45"/>
  <c r="G136" i="45"/>
  <c r="D66" i="7"/>
  <c r="E66" i="7" s="1"/>
  <c r="G65" i="7"/>
  <c r="H65" i="7"/>
  <c r="G57" i="31"/>
  <c r="D58" i="31"/>
  <c r="E58" i="31" s="1"/>
  <c r="H57" i="31"/>
  <c r="D62" i="25"/>
  <c r="G61" i="25"/>
  <c r="H61" i="25"/>
  <c r="E62" i="25"/>
  <c r="D54" i="41"/>
  <c r="E54" i="41"/>
  <c r="H61" i="22"/>
  <c r="D62" i="22"/>
  <c r="G61" i="22"/>
  <c r="E62" i="22"/>
  <c r="H63" i="6"/>
  <c r="G63" i="6"/>
  <c r="D64" i="6"/>
  <c r="E64" i="6" s="1"/>
  <c r="D54" i="42"/>
  <c r="E54" i="42" s="1"/>
  <c r="B65" i="9"/>
  <c r="G60" i="23"/>
  <c r="H60" i="23"/>
  <c r="D61" i="23"/>
  <c r="E61" i="23"/>
  <c r="G62" i="4"/>
  <c r="H62" i="4"/>
  <c r="D63" i="4"/>
  <c r="E63" i="4" s="1"/>
  <c r="I55" i="37"/>
  <c r="E65" i="9"/>
  <c r="F65" i="9" s="1"/>
  <c r="B55" i="13"/>
  <c r="F55" i="13"/>
  <c r="G55" i="13" s="1"/>
  <c r="H59" i="24"/>
  <c r="G59" i="24"/>
  <c r="D60" i="24"/>
  <c r="E60" i="24" s="1"/>
  <c r="D54" i="40"/>
  <c r="E54" i="40" s="1"/>
  <c r="G53" i="41"/>
  <c r="D55" i="45"/>
  <c r="E55" i="45" s="1"/>
  <c r="G63" i="8"/>
  <c r="H63" i="8"/>
  <c r="D64" i="8"/>
  <c r="E64" i="8" s="1"/>
  <c r="E56" i="37"/>
  <c r="D56" i="37"/>
  <c r="H57" i="29"/>
  <c r="D58" i="29"/>
  <c r="E58" i="29" s="1"/>
  <c r="G57" i="29"/>
  <c r="D63" i="5"/>
  <c r="E63" i="5" s="1"/>
  <c r="H62" i="5"/>
  <c r="G62" i="5"/>
  <c r="G53" i="42"/>
  <c r="G57" i="28"/>
  <c r="H57" i="28"/>
  <c r="D58" i="28"/>
  <c r="E58" i="28" s="1"/>
  <c r="G56" i="30"/>
  <c r="H56" i="30"/>
  <c r="D57" i="30"/>
  <c r="E57" i="30" s="1"/>
  <c r="B54" i="46"/>
  <c r="H66" i="10"/>
  <c r="D67" i="10"/>
  <c r="E67" i="10" s="1"/>
  <c r="G66" i="10"/>
  <c r="H53" i="40"/>
  <c r="I53" i="40" s="1"/>
  <c r="H53" i="41"/>
  <c r="I53" i="41" s="1"/>
  <c r="D55" i="39"/>
  <c r="E55" i="39" s="1"/>
  <c r="H54" i="45"/>
  <c r="I54" i="45" s="1"/>
  <c r="G64" i="11"/>
  <c r="H64" i="11"/>
  <c r="D65" i="11"/>
  <c r="E65" i="11" s="1"/>
  <c r="H53" i="42"/>
  <c r="D55" i="38"/>
  <c r="E55" i="38"/>
  <c r="D53" i="43"/>
  <c r="E53" i="43"/>
  <c r="D63" i="3"/>
  <c r="E63" i="3" s="1"/>
  <c r="H62" i="3"/>
  <c r="G62" i="3"/>
  <c r="E54" i="46"/>
  <c r="F54" i="46" s="1"/>
  <c r="D136" i="44"/>
  <c r="E136" i="44" s="1"/>
  <c r="G135" i="44"/>
  <c r="G136" i="13"/>
  <c r="D137" i="13"/>
  <c r="H136" i="46"/>
  <c r="I136" i="46"/>
  <c r="B137" i="46"/>
  <c r="F137" i="46"/>
  <c r="E55" i="44" l="1"/>
  <c r="B55" i="44"/>
  <c r="F55" i="44"/>
  <c r="I62" i="4"/>
  <c r="I60" i="23"/>
  <c r="I53" i="42"/>
  <c r="I57" i="31"/>
  <c r="I65" i="7"/>
  <c r="I57" i="29"/>
  <c r="B59" i="27"/>
  <c r="F59" i="27"/>
  <c r="I56" i="30"/>
  <c r="I57" i="28"/>
  <c r="H55" i="13"/>
  <c r="I63" i="6"/>
  <c r="I61" i="25"/>
  <c r="I58" i="27"/>
  <c r="I136" i="45"/>
  <c r="H136" i="45"/>
  <c r="B137" i="45"/>
  <c r="E137" i="45"/>
  <c r="F137" i="45" s="1"/>
  <c r="G65" i="9"/>
  <c r="H65" i="9"/>
  <c r="D66" i="9"/>
  <c r="D55" i="46"/>
  <c r="G54" i="46"/>
  <c r="H54" i="46"/>
  <c r="I64" i="11"/>
  <c r="F55" i="39"/>
  <c r="B55" i="39"/>
  <c r="I66" i="10"/>
  <c r="F58" i="29"/>
  <c r="B58" i="29"/>
  <c r="F54" i="40"/>
  <c r="H54" i="40" s="1"/>
  <c r="B54" i="40"/>
  <c r="I59" i="24"/>
  <c r="F62" i="22"/>
  <c r="B62" i="22"/>
  <c r="B53" i="43"/>
  <c r="F53" i="43"/>
  <c r="H53" i="43" s="1"/>
  <c r="B63" i="5"/>
  <c r="F63" i="5"/>
  <c r="B64" i="8"/>
  <c r="F64" i="8"/>
  <c r="F55" i="45"/>
  <c r="B55" i="45"/>
  <c r="I55" i="13"/>
  <c r="F54" i="42"/>
  <c r="G54" i="42" s="1"/>
  <c r="B54" i="42"/>
  <c r="I61" i="22"/>
  <c r="I62" i="3"/>
  <c r="F57" i="30"/>
  <c r="B57" i="30"/>
  <c r="B58" i="28"/>
  <c r="F58" i="28"/>
  <c r="B56" i="37"/>
  <c r="F56" i="37"/>
  <c r="G56" i="37" s="1"/>
  <c r="I63" i="8"/>
  <c r="B60" i="24"/>
  <c r="F60" i="24"/>
  <c r="D56" i="13"/>
  <c r="E56" i="13" s="1"/>
  <c r="F63" i="4"/>
  <c r="B63" i="4"/>
  <c r="F61" i="23"/>
  <c r="B61" i="23"/>
  <c r="B58" i="31"/>
  <c r="F58" i="31"/>
  <c r="B63" i="3"/>
  <c r="F63" i="3"/>
  <c r="B55" i="38"/>
  <c r="F55" i="38"/>
  <c r="G55" i="38" s="1"/>
  <c r="B65" i="11"/>
  <c r="F65" i="11"/>
  <c r="F67" i="10"/>
  <c r="B67" i="10"/>
  <c r="B64" i="6"/>
  <c r="F64" i="6"/>
  <c r="B54" i="41"/>
  <c r="F54" i="41"/>
  <c r="H54" i="41" s="1"/>
  <c r="B62" i="25"/>
  <c r="F62" i="25"/>
  <c r="F66" i="7"/>
  <c r="B66" i="7"/>
  <c r="B137" i="13"/>
  <c r="H136" i="13"/>
  <c r="I136" i="13"/>
  <c r="G137" i="46"/>
  <c r="D138" i="46"/>
  <c r="I135" i="44"/>
  <c r="H135" i="44"/>
  <c r="E137" i="13"/>
  <c r="F137" i="13" s="1"/>
  <c r="F136" i="44"/>
  <c r="B136" i="44"/>
  <c r="H55" i="44" l="1"/>
  <c r="D56" i="44"/>
  <c r="G55" i="44"/>
  <c r="I55" i="44" s="1"/>
  <c r="I54" i="46"/>
  <c r="I65" i="9"/>
  <c r="G54" i="41"/>
  <c r="I54" i="41" s="1"/>
  <c r="H56" i="37"/>
  <c r="I56" i="37" s="1"/>
  <c r="H55" i="38"/>
  <c r="I55" i="38" s="1"/>
  <c r="G59" i="27"/>
  <c r="H59" i="27"/>
  <c r="D60" i="27"/>
  <c r="E60" i="27" s="1"/>
  <c r="D138" i="45"/>
  <c r="G137" i="45"/>
  <c r="H63" i="4"/>
  <c r="D64" i="4"/>
  <c r="G63" i="4"/>
  <c r="D56" i="45"/>
  <c r="E56" i="45" s="1"/>
  <c r="D56" i="39"/>
  <c r="E56" i="39" s="1"/>
  <c r="B66" i="9"/>
  <c r="D67" i="7"/>
  <c r="G66" i="7"/>
  <c r="H66" i="7"/>
  <c r="H62" i="25"/>
  <c r="D63" i="25"/>
  <c r="E63" i="25" s="1"/>
  <c r="G62" i="25"/>
  <c r="D56" i="38"/>
  <c r="E56" i="38" s="1"/>
  <c r="H63" i="3"/>
  <c r="G63" i="3"/>
  <c r="D64" i="3"/>
  <c r="E64" i="3" s="1"/>
  <c r="G57" i="30"/>
  <c r="D58" i="30"/>
  <c r="H57" i="30"/>
  <c r="E58" i="30"/>
  <c r="G55" i="45"/>
  <c r="H64" i="8"/>
  <c r="D65" i="8"/>
  <c r="G64" i="8"/>
  <c r="D59" i="29"/>
  <c r="G58" i="29"/>
  <c r="H58" i="29"/>
  <c r="E59" i="29"/>
  <c r="G55" i="39"/>
  <c r="E66" i="9"/>
  <c r="F66" i="9" s="1"/>
  <c r="G67" i="10"/>
  <c r="H67" i="10"/>
  <c r="D68" i="10"/>
  <c r="G61" i="23"/>
  <c r="H61" i="23"/>
  <c r="D62" i="23"/>
  <c r="E62" i="23" s="1"/>
  <c r="B56" i="13"/>
  <c r="F56" i="13"/>
  <c r="H56" i="13" s="1"/>
  <c r="D57" i="37"/>
  <c r="E57" i="37" s="1"/>
  <c r="G58" i="28"/>
  <c r="H58" i="28"/>
  <c r="D59" i="28"/>
  <c r="E59" i="28" s="1"/>
  <c r="D55" i="42"/>
  <c r="E55" i="42" s="1"/>
  <c r="D54" i="43"/>
  <c r="E54" i="43" s="1"/>
  <c r="D63" i="22"/>
  <c r="E63" i="22" s="1"/>
  <c r="G62" i="22"/>
  <c r="H62" i="22"/>
  <c r="D55" i="40"/>
  <c r="E55" i="40" s="1"/>
  <c r="H55" i="39"/>
  <c r="B55" i="46"/>
  <c r="D55" i="41"/>
  <c r="E55" i="41" s="1"/>
  <c r="H64" i="6"/>
  <c r="D65" i="6"/>
  <c r="E65" i="6" s="1"/>
  <c r="G64" i="6"/>
  <c r="D66" i="11"/>
  <c r="E66" i="11" s="1"/>
  <c r="G65" i="11"/>
  <c r="H65" i="11"/>
  <c r="H58" i="31"/>
  <c r="G58" i="31"/>
  <c r="D59" i="31"/>
  <c r="E59" i="31" s="1"/>
  <c r="G60" i="24"/>
  <c r="D61" i="24"/>
  <c r="E61" i="24" s="1"/>
  <c r="H60" i="24"/>
  <c r="H54" i="42"/>
  <c r="I54" i="42" s="1"/>
  <c r="H55" i="45"/>
  <c r="D64" i="5"/>
  <c r="E64" i="5" s="1"/>
  <c r="G63" i="5"/>
  <c r="H63" i="5"/>
  <c r="G53" i="43"/>
  <c r="I53" i="43" s="1"/>
  <c r="G54" i="40"/>
  <c r="I54" i="40" s="1"/>
  <c r="E55" i="46"/>
  <c r="F55" i="46" s="1"/>
  <c r="G137" i="13"/>
  <c r="D138" i="13"/>
  <c r="B138" i="46"/>
  <c r="E138" i="46"/>
  <c r="F138" i="46" s="1"/>
  <c r="D137" i="44"/>
  <c r="E137" i="44" s="1"/>
  <c r="G136" i="44"/>
  <c r="H137" i="46"/>
  <c r="I137" i="46"/>
  <c r="E56" i="44" l="1"/>
  <c r="F56" i="44" s="1"/>
  <c r="B56" i="44"/>
  <c r="I61" i="23"/>
  <c r="I55" i="45"/>
  <c r="G56" i="13"/>
  <c r="I60" i="24"/>
  <c r="I67" i="10"/>
  <c r="I59" i="27"/>
  <c r="I58" i="31"/>
  <c r="I63" i="3"/>
  <c r="I62" i="25"/>
  <c r="I58" i="28"/>
  <c r="I57" i="30"/>
  <c r="I64" i="6"/>
  <c r="B60" i="27"/>
  <c r="F60" i="27"/>
  <c r="E138" i="45"/>
  <c r="F138" i="45" s="1"/>
  <c r="B138" i="45"/>
  <c r="I137" i="45"/>
  <c r="H137" i="45"/>
  <c r="G66" i="9"/>
  <c r="H66" i="9"/>
  <c r="I66" i="9" s="1"/>
  <c r="D67" i="9"/>
  <c r="E67" i="9" s="1"/>
  <c r="D56" i="46"/>
  <c r="E56" i="46" s="1"/>
  <c r="G55" i="46"/>
  <c r="H55" i="46"/>
  <c r="I55" i="46" s="1"/>
  <c r="F66" i="11"/>
  <c r="B66" i="11"/>
  <c r="F62" i="23"/>
  <c r="B62" i="23"/>
  <c r="B68" i="10"/>
  <c r="F63" i="25"/>
  <c r="B63" i="25"/>
  <c r="B55" i="40"/>
  <c r="F55" i="40"/>
  <c r="H55" i="40" s="1"/>
  <c r="B63" i="22"/>
  <c r="F63" i="22"/>
  <c r="B59" i="28"/>
  <c r="F59" i="28"/>
  <c r="B57" i="37"/>
  <c r="F57" i="37"/>
  <c r="B59" i="29"/>
  <c r="F59" i="29"/>
  <c r="B65" i="8"/>
  <c r="F64" i="3"/>
  <c r="B64" i="3"/>
  <c r="B56" i="38"/>
  <c r="F56" i="38"/>
  <c r="G56" i="38" s="1"/>
  <c r="B67" i="7"/>
  <c r="F56" i="39"/>
  <c r="H56" i="39" s="1"/>
  <c r="B56" i="39"/>
  <c r="B64" i="4"/>
  <c r="B61" i="24"/>
  <c r="F61" i="24"/>
  <c r="F59" i="31"/>
  <c r="B59" i="31"/>
  <c r="I65" i="11"/>
  <c r="B55" i="41"/>
  <c r="F55" i="41"/>
  <c r="H55" i="41" s="1"/>
  <c r="I56" i="13"/>
  <c r="E68" i="10"/>
  <c r="F68" i="10" s="1"/>
  <c r="I64" i="8"/>
  <c r="F58" i="30"/>
  <c r="B58" i="30"/>
  <c r="E67" i="7"/>
  <c r="F67" i="7" s="1"/>
  <c r="I63" i="4"/>
  <c r="B64" i="5"/>
  <c r="F64" i="5"/>
  <c r="F65" i="6"/>
  <c r="B65" i="6"/>
  <c r="I55" i="39"/>
  <c r="I62" i="22"/>
  <c r="F54" i="43"/>
  <c r="H54" i="43" s="1"/>
  <c r="B54" i="43"/>
  <c r="B55" i="42"/>
  <c r="F55" i="42"/>
  <c r="G55" i="42" s="1"/>
  <c r="D57" i="13"/>
  <c r="E57" i="13" s="1"/>
  <c r="I58" i="29"/>
  <c r="E65" i="8"/>
  <c r="F65" i="8" s="1"/>
  <c r="I66" i="7"/>
  <c r="B56" i="45"/>
  <c r="F56" i="45"/>
  <c r="H56" i="45" s="1"/>
  <c r="E64" i="4"/>
  <c r="F64" i="4" s="1"/>
  <c r="G138" i="46"/>
  <c r="D139" i="46"/>
  <c r="E139" i="46" s="1"/>
  <c r="B137" i="44"/>
  <c r="F137" i="44"/>
  <c r="B138" i="13"/>
  <c r="H137" i="13"/>
  <c r="I137" i="13"/>
  <c r="I136" i="44"/>
  <c r="H136" i="44"/>
  <c r="E138" i="13"/>
  <c r="F138" i="13" s="1"/>
  <c r="D57" i="44" l="1"/>
  <c r="G56" i="44"/>
  <c r="H56" i="44"/>
  <c r="I56" i="44" s="1"/>
  <c r="G56" i="39"/>
  <c r="I56" i="39" s="1"/>
  <c r="G56" i="45"/>
  <c r="I56" i="45" s="1"/>
  <c r="G54" i="43"/>
  <c r="I54" i="43" s="1"/>
  <c r="G60" i="27"/>
  <c r="H60" i="27"/>
  <c r="D61" i="27"/>
  <c r="D139" i="45"/>
  <c r="G138" i="45"/>
  <c r="H64" i="4"/>
  <c r="D65" i="4"/>
  <c r="E65" i="4" s="1"/>
  <c r="G64" i="4"/>
  <c r="D68" i="7"/>
  <c r="E68" i="7" s="1"/>
  <c r="G67" i="7"/>
  <c r="H67" i="7"/>
  <c r="H68" i="10"/>
  <c r="D69" i="10"/>
  <c r="E69" i="10" s="1"/>
  <c r="G68" i="10"/>
  <c r="H65" i="8"/>
  <c r="D66" i="8"/>
  <c r="E66" i="8" s="1"/>
  <c r="G65" i="8"/>
  <c r="G61" i="24"/>
  <c r="D62" i="24"/>
  <c r="H61" i="24"/>
  <c r="E62" i="24"/>
  <c r="D58" i="37"/>
  <c r="E58" i="37" s="1"/>
  <c r="G59" i="28"/>
  <c r="H59" i="28"/>
  <c r="D60" i="28"/>
  <c r="E60" i="28"/>
  <c r="D56" i="42"/>
  <c r="E56" i="42" s="1"/>
  <c r="G58" i="30"/>
  <c r="H58" i="30"/>
  <c r="I58" i="30" s="1"/>
  <c r="D59" i="30"/>
  <c r="E59" i="30" s="1"/>
  <c r="D56" i="41"/>
  <c r="E56" i="41"/>
  <c r="H56" i="38"/>
  <c r="I56" i="38" s="1"/>
  <c r="G57" i="37"/>
  <c r="D56" i="40"/>
  <c r="E56" i="40" s="1"/>
  <c r="H63" i="25"/>
  <c r="D64" i="25"/>
  <c r="G63" i="25"/>
  <c r="E64" i="25"/>
  <c r="H62" i="23"/>
  <c r="G62" i="23"/>
  <c r="D63" i="23"/>
  <c r="E63" i="23" s="1"/>
  <c r="F67" i="9"/>
  <c r="B67" i="9"/>
  <c r="D57" i="45"/>
  <c r="E57" i="45" s="1"/>
  <c r="F57" i="13"/>
  <c r="H57" i="13" s="1"/>
  <c r="B57" i="13"/>
  <c r="D55" i="43"/>
  <c r="E55" i="43" s="1"/>
  <c r="D66" i="6"/>
  <c r="E66" i="6" s="1"/>
  <c r="H65" i="6"/>
  <c r="G65" i="6"/>
  <c r="G55" i="41"/>
  <c r="I55" i="41" s="1"/>
  <c r="D57" i="39"/>
  <c r="E57" i="39" s="1"/>
  <c r="H59" i="29"/>
  <c r="D60" i="29"/>
  <c r="G59" i="29"/>
  <c r="E60" i="29"/>
  <c r="H57" i="37"/>
  <c r="I57" i="37" s="1"/>
  <c r="D64" i="22"/>
  <c r="E64" i="22" s="1"/>
  <c r="G63" i="22"/>
  <c r="H63" i="22"/>
  <c r="H55" i="42"/>
  <c r="I55" i="42" s="1"/>
  <c r="D65" i="5"/>
  <c r="E65" i="5" s="1"/>
  <c r="H64" i="5"/>
  <c r="G64" i="5"/>
  <c r="G59" i="31"/>
  <c r="D60" i="31"/>
  <c r="E60" i="31" s="1"/>
  <c r="H59" i="31"/>
  <c r="D57" i="38"/>
  <c r="E57" i="38"/>
  <c r="G64" i="3"/>
  <c r="H64" i="3"/>
  <c r="D65" i="3"/>
  <c r="E65" i="3" s="1"/>
  <c r="G55" i="40"/>
  <c r="I55" i="40" s="1"/>
  <c r="D67" i="11"/>
  <c r="E67" i="11" s="1"/>
  <c r="G66" i="11"/>
  <c r="H66" i="11"/>
  <c r="F56" i="46"/>
  <c r="H56" i="46" s="1"/>
  <c r="B56" i="46"/>
  <c r="G138" i="13"/>
  <c r="D139" i="13"/>
  <c r="E139" i="13" s="1"/>
  <c r="G137" i="44"/>
  <c r="D138" i="44"/>
  <c r="B139" i="46"/>
  <c r="F139" i="46"/>
  <c r="I138" i="46"/>
  <c r="H138" i="46"/>
  <c r="E57" i="44" l="1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B61" i="27"/>
  <c r="I138" i="45"/>
  <c r="H138" i="45"/>
  <c r="E139" i="45"/>
  <c r="F139" i="45" s="1"/>
  <c r="B139" i="45"/>
  <c r="I66" i="11"/>
  <c r="I59" i="31"/>
  <c r="I59" i="29"/>
  <c r="F64" i="25"/>
  <c r="B64" i="25"/>
  <c r="I61" i="24"/>
  <c r="D57" i="46"/>
  <c r="E57" i="46" s="1"/>
  <c r="B60" i="31"/>
  <c r="F60" i="31"/>
  <c r="B55" i="43"/>
  <c r="F55" i="43"/>
  <c r="G55" i="43" s="1"/>
  <c r="D58" i="13"/>
  <c r="D68" i="9"/>
  <c r="E68" i="9" s="1"/>
  <c r="H67" i="9"/>
  <c r="G67" i="9"/>
  <c r="F59" i="30"/>
  <c r="B59" i="30"/>
  <c r="B56" i="42"/>
  <c r="F56" i="42"/>
  <c r="B58" i="37"/>
  <c r="F58" i="37"/>
  <c r="F62" i="24"/>
  <c r="B62" i="24"/>
  <c r="B67" i="11"/>
  <c r="F67" i="11"/>
  <c r="B65" i="3"/>
  <c r="F65" i="3"/>
  <c r="F57" i="38"/>
  <c r="G57" i="38" s="1"/>
  <c r="B57" i="38"/>
  <c r="B65" i="5"/>
  <c r="F65" i="5"/>
  <c r="B57" i="39"/>
  <c r="F57" i="39"/>
  <c r="G57" i="39" s="1"/>
  <c r="I65" i="6"/>
  <c r="B60" i="28"/>
  <c r="F60" i="28"/>
  <c r="F66" i="8"/>
  <c r="B66" i="8"/>
  <c r="F69" i="10"/>
  <c r="B69" i="10"/>
  <c r="B65" i="4"/>
  <c r="F65" i="4"/>
  <c r="B64" i="22"/>
  <c r="F64" i="22"/>
  <c r="B60" i="29"/>
  <c r="F60" i="29"/>
  <c r="F66" i="6"/>
  <c r="B66" i="6"/>
  <c r="G57" i="13"/>
  <c r="I57" i="13" s="1"/>
  <c r="B57" i="45"/>
  <c r="F57" i="45"/>
  <c r="F63" i="23"/>
  <c r="B63" i="23"/>
  <c r="F56" i="40"/>
  <c r="H56" i="40" s="1"/>
  <c r="B56" i="40"/>
  <c r="B56" i="41"/>
  <c r="F56" i="41"/>
  <c r="G56" i="41" s="1"/>
  <c r="I59" i="28"/>
  <c r="I65" i="8"/>
  <c r="I68" i="10"/>
  <c r="F68" i="7"/>
  <c r="B68" i="7"/>
  <c r="I64" i="4"/>
  <c r="B138" i="44"/>
  <c r="I138" i="13"/>
  <c r="H138" i="13"/>
  <c r="D140" i="46"/>
  <c r="E140" i="46" s="1"/>
  <c r="G139" i="46"/>
  <c r="H137" i="44"/>
  <c r="I137" i="44"/>
  <c r="E138" i="44"/>
  <c r="F138" i="44" s="1"/>
  <c r="B139" i="13"/>
  <c r="F139" i="13"/>
  <c r="H57" i="44" l="1"/>
  <c r="D58" i="44"/>
  <c r="G57" i="44"/>
  <c r="H61" i="27"/>
  <c r="D62" i="27"/>
  <c r="B62" i="27" s="1"/>
  <c r="G61" i="27"/>
  <c r="H56" i="41"/>
  <c r="I56" i="41" s="1"/>
  <c r="G56" i="40"/>
  <c r="I56" i="40" s="1"/>
  <c r="D140" i="45"/>
  <c r="G139" i="45"/>
  <c r="D58" i="45"/>
  <c r="E58" i="45" s="1"/>
  <c r="G66" i="8"/>
  <c r="H66" i="8"/>
  <c r="D67" i="8"/>
  <c r="E67" i="8" s="1"/>
  <c r="D66" i="5"/>
  <c r="H65" i="5"/>
  <c r="G65" i="5"/>
  <c r="D68" i="11"/>
  <c r="G67" i="11"/>
  <c r="H67" i="11"/>
  <c r="E59" i="37"/>
  <c r="D59" i="37"/>
  <c r="D57" i="42"/>
  <c r="E57" i="42" s="1"/>
  <c r="D61" i="31"/>
  <c r="E61" i="31" s="1"/>
  <c r="H60" i="31"/>
  <c r="G60" i="31"/>
  <c r="D57" i="40"/>
  <c r="E57" i="40"/>
  <c r="H57" i="45"/>
  <c r="G64" i="22"/>
  <c r="H64" i="22"/>
  <c r="D65" i="22"/>
  <c r="E65" i="22" s="1"/>
  <c r="D61" i="28"/>
  <c r="E61" i="28" s="1"/>
  <c r="G60" i="28"/>
  <c r="H60" i="28"/>
  <c r="D58" i="39"/>
  <c r="E58" i="39" s="1"/>
  <c r="D58" i="38"/>
  <c r="E58" i="38" s="1"/>
  <c r="H58" i="37"/>
  <c r="H56" i="42"/>
  <c r="D60" i="30"/>
  <c r="E60" i="30" s="1"/>
  <c r="H59" i="30"/>
  <c r="G59" i="30"/>
  <c r="B68" i="9"/>
  <c r="F68" i="9"/>
  <c r="D56" i="43"/>
  <c r="E56" i="43" s="1"/>
  <c r="H68" i="7"/>
  <c r="D69" i="7"/>
  <c r="G68" i="7"/>
  <c r="G57" i="45"/>
  <c r="G66" i="6"/>
  <c r="D67" i="6"/>
  <c r="E67" i="6" s="1"/>
  <c r="H66" i="6"/>
  <c r="D70" i="10"/>
  <c r="G69" i="10"/>
  <c r="H69" i="10"/>
  <c r="H57" i="39"/>
  <c r="I57" i="39" s="1"/>
  <c r="H57" i="38"/>
  <c r="I57" i="38" s="1"/>
  <c r="H65" i="3"/>
  <c r="D66" i="3"/>
  <c r="G65" i="3"/>
  <c r="G58" i="37"/>
  <c r="G56" i="42"/>
  <c r="B58" i="13"/>
  <c r="H55" i="43"/>
  <c r="I55" i="43" s="1"/>
  <c r="D57" i="41"/>
  <c r="E57" i="41" s="1"/>
  <c r="G63" i="23"/>
  <c r="H63" i="23"/>
  <c r="D64" i="23"/>
  <c r="E64" i="23" s="1"/>
  <c r="G60" i="29"/>
  <c r="H60" i="29"/>
  <c r="D61" i="29"/>
  <c r="E61" i="29"/>
  <c r="D66" i="4"/>
  <c r="G65" i="4"/>
  <c r="H65" i="4"/>
  <c r="D63" i="24"/>
  <c r="E63" i="24" s="1"/>
  <c r="G62" i="24"/>
  <c r="H62" i="24"/>
  <c r="I67" i="9"/>
  <c r="E58" i="13"/>
  <c r="F58" i="13" s="1"/>
  <c r="F57" i="46"/>
  <c r="H57" i="46" s="1"/>
  <c r="B57" i="46"/>
  <c r="G64" i="25"/>
  <c r="H64" i="25"/>
  <c r="D65" i="25"/>
  <c r="E65" i="25" s="1"/>
  <c r="D139" i="44"/>
  <c r="G138" i="44"/>
  <c r="F140" i="46"/>
  <c r="B140" i="46"/>
  <c r="G139" i="13"/>
  <c r="D140" i="13"/>
  <c r="E140" i="13" s="1"/>
  <c r="I139" i="46"/>
  <c r="H139" i="46"/>
  <c r="B58" i="44" l="1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H139" i="45"/>
  <c r="I139" i="45"/>
  <c r="E140" i="45"/>
  <c r="F140" i="45" s="1"/>
  <c r="B140" i="45"/>
  <c r="D59" i="13"/>
  <c r="E59" i="13" s="1"/>
  <c r="G58" i="13"/>
  <c r="H58" i="13"/>
  <c r="B70" i="10"/>
  <c r="F56" i="43"/>
  <c r="B56" i="43"/>
  <c r="I58" i="37"/>
  <c r="F58" i="39"/>
  <c r="G58" i="39" s="1"/>
  <c r="B58" i="39"/>
  <c r="B61" i="28"/>
  <c r="F61" i="28"/>
  <c r="I60" i="31"/>
  <c r="F59" i="37"/>
  <c r="H59" i="37" s="1"/>
  <c r="B59" i="37"/>
  <c r="D58" i="46"/>
  <c r="B63" i="24"/>
  <c r="F63" i="24"/>
  <c r="B66" i="4"/>
  <c r="B66" i="3"/>
  <c r="B69" i="7"/>
  <c r="G68" i="9"/>
  <c r="H68" i="9"/>
  <c r="D69" i="9"/>
  <c r="I59" i="30"/>
  <c r="I57" i="45"/>
  <c r="B61" i="31"/>
  <c r="F61" i="31"/>
  <c r="B68" i="11"/>
  <c r="B66" i="5"/>
  <c r="F65" i="25"/>
  <c r="B65" i="25"/>
  <c r="I64" i="25"/>
  <c r="G57" i="46"/>
  <c r="I57" i="46" s="1"/>
  <c r="E66" i="4"/>
  <c r="F66" i="4" s="1"/>
  <c r="I65" i="3"/>
  <c r="I66" i="6"/>
  <c r="I68" i="7"/>
  <c r="F60" i="30"/>
  <c r="B60" i="30"/>
  <c r="B58" i="38"/>
  <c r="F58" i="38"/>
  <c r="H58" i="38" s="1"/>
  <c r="I60" i="28"/>
  <c r="B65" i="22"/>
  <c r="F65" i="22"/>
  <c r="E68" i="11"/>
  <c r="F68" i="11" s="1"/>
  <c r="E66" i="5"/>
  <c r="F66" i="5" s="1"/>
  <c r="B61" i="29"/>
  <c r="F61" i="29"/>
  <c r="F64" i="23"/>
  <c r="B64" i="23"/>
  <c r="B57" i="41"/>
  <c r="F57" i="41"/>
  <c r="E66" i="3"/>
  <c r="F66" i="3" s="1"/>
  <c r="E70" i="10"/>
  <c r="F70" i="10" s="1"/>
  <c r="F67" i="6"/>
  <c r="B67" i="6"/>
  <c r="E69" i="7"/>
  <c r="F69" i="7" s="1"/>
  <c r="I56" i="42"/>
  <c r="F57" i="40"/>
  <c r="G57" i="40" s="1"/>
  <c r="B57" i="40"/>
  <c r="B57" i="42"/>
  <c r="F57" i="42"/>
  <c r="G57" i="42" s="1"/>
  <c r="B67" i="8"/>
  <c r="F67" i="8"/>
  <c r="F58" i="45"/>
  <c r="G58" i="45" s="1"/>
  <c r="B58" i="45"/>
  <c r="H58" i="45"/>
  <c r="B139" i="44"/>
  <c r="H139" i="13"/>
  <c r="I139" i="13"/>
  <c r="D141" i="46"/>
  <c r="E141" i="46" s="1"/>
  <c r="G140" i="46"/>
  <c r="E139" i="44"/>
  <c r="F139" i="44" s="1"/>
  <c r="F140" i="13"/>
  <c r="B140" i="13"/>
  <c r="I138" i="44"/>
  <c r="H138" i="44"/>
  <c r="H57" i="40" l="1"/>
  <c r="H58" i="44"/>
  <c r="D59" i="44"/>
  <c r="G58" i="44"/>
  <c r="I68" i="9"/>
  <c r="H57" i="42"/>
  <c r="I57" i="40"/>
  <c r="H58" i="39"/>
  <c r="I58" i="39" s="1"/>
  <c r="G59" i="37"/>
  <c r="I57" i="42"/>
  <c r="I58" i="45"/>
  <c r="G58" i="38"/>
  <c r="I58" i="38" s="1"/>
  <c r="I58" i="13"/>
  <c r="H62" i="27"/>
  <c r="D63" i="27"/>
  <c r="B63" i="27" s="1"/>
  <c r="G62" i="27"/>
  <c r="G140" i="45"/>
  <c r="D141" i="45"/>
  <c r="B141" i="45" s="1"/>
  <c r="D67" i="3"/>
  <c r="E67" i="3" s="1"/>
  <c r="H66" i="3"/>
  <c r="G66" i="3"/>
  <c r="G66" i="5"/>
  <c r="D67" i="5"/>
  <c r="E67" i="5" s="1"/>
  <c r="H66" i="5"/>
  <c r="D67" i="4"/>
  <c r="E67" i="4" s="1"/>
  <c r="G66" i="4"/>
  <c r="H66" i="4"/>
  <c r="I66" i="4" s="1"/>
  <c r="G69" i="7"/>
  <c r="H69" i="7"/>
  <c r="D70" i="7"/>
  <c r="E70" i="7" s="1"/>
  <c r="G68" i="11"/>
  <c r="H68" i="11"/>
  <c r="D69" i="11"/>
  <c r="E69" i="11" s="1"/>
  <c r="D71" i="10"/>
  <c r="E71" i="10" s="1"/>
  <c r="G70" i="10"/>
  <c r="H70" i="10"/>
  <c r="D58" i="41"/>
  <c r="E58" i="41" s="1"/>
  <c r="D62" i="31"/>
  <c r="E62" i="31" s="1"/>
  <c r="H61" i="31"/>
  <c r="G61" i="31"/>
  <c r="B69" i="9"/>
  <c r="B58" i="46"/>
  <c r="D57" i="43"/>
  <c r="E57" i="43" s="1"/>
  <c r="D58" i="40"/>
  <c r="E58" i="40"/>
  <c r="H67" i="6"/>
  <c r="D68" i="6"/>
  <c r="G67" i="6"/>
  <c r="H57" i="41"/>
  <c r="D65" i="23"/>
  <c r="E65" i="23" s="1"/>
  <c r="G64" i="23"/>
  <c r="H64" i="23"/>
  <c r="E69" i="9"/>
  <c r="F69" i="9" s="1"/>
  <c r="E58" i="46"/>
  <c r="F58" i="46" s="1"/>
  <c r="I59" i="37"/>
  <c r="G56" i="43"/>
  <c r="G61" i="29"/>
  <c r="H61" i="29"/>
  <c r="D62" i="29"/>
  <c r="E62" i="29"/>
  <c r="D59" i="38"/>
  <c r="E59" i="38"/>
  <c r="D64" i="24"/>
  <c r="E64" i="24" s="1"/>
  <c r="H63" i="24"/>
  <c r="G63" i="24"/>
  <c r="H67" i="8"/>
  <c r="G67" i="8"/>
  <c r="D68" i="8"/>
  <c r="D59" i="45"/>
  <c r="E59" i="45" s="1"/>
  <c r="D58" i="42"/>
  <c r="E58" i="42"/>
  <c r="G57" i="41"/>
  <c r="H65" i="22"/>
  <c r="G65" i="22"/>
  <c r="D66" i="22"/>
  <c r="E66" i="22" s="1"/>
  <c r="D61" i="30"/>
  <c r="E61" i="30" s="1"/>
  <c r="G60" i="30"/>
  <c r="H60" i="30"/>
  <c r="D66" i="25"/>
  <c r="H65" i="25"/>
  <c r="G65" i="25"/>
  <c r="D60" i="37"/>
  <c r="E60" i="37"/>
  <c r="D62" i="28"/>
  <c r="E62" i="28" s="1"/>
  <c r="G61" i="28"/>
  <c r="H61" i="28"/>
  <c r="D59" i="39"/>
  <c r="E59" i="39" s="1"/>
  <c r="H56" i="43"/>
  <c r="B59" i="13"/>
  <c r="F59" i="13"/>
  <c r="G59" i="13" s="1"/>
  <c r="G139" i="44"/>
  <c r="D140" i="44"/>
  <c r="D141" i="13"/>
  <c r="G140" i="13"/>
  <c r="I140" i="46"/>
  <c r="H140" i="46"/>
  <c r="F141" i="46"/>
  <c r="B141" i="46"/>
  <c r="E59" i="44" l="1"/>
  <c r="F59" i="44" s="1"/>
  <c r="B59" i="44"/>
  <c r="I58" i="44"/>
  <c r="I56" i="43"/>
  <c r="H59" i="13"/>
  <c r="I61" i="29"/>
  <c r="I62" i="27"/>
  <c r="I65" i="25"/>
  <c r="E63" i="27"/>
  <c r="F63" i="27" s="1"/>
  <c r="I61" i="28"/>
  <c r="E141" i="45"/>
  <c r="F141" i="45" s="1"/>
  <c r="I140" i="45"/>
  <c r="H140" i="45"/>
  <c r="D59" i="46"/>
  <c r="E59" i="46" s="1"/>
  <c r="H58" i="46"/>
  <c r="G58" i="46"/>
  <c r="H69" i="9"/>
  <c r="D70" i="9"/>
  <c r="E70" i="9" s="1"/>
  <c r="G69" i="9"/>
  <c r="B60" i="37"/>
  <c r="F60" i="37"/>
  <c r="G60" i="37" s="1"/>
  <c r="B66" i="25"/>
  <c r="F61" i="30"/>
  <c r="B61" i="30"/>
  <c r="I65" i="22"/>
  <c r="B68" i="8"/>
  <c r="F59" i="38"/>
  <c r="H59" i="38" s="1"/>
  <c r="B59" i="38"/>
  <c r="B65" i="23"/>
  <c r="F65" i="23"/>
  <c r="B68" i="6"/>
  <c r="I61" i="31"/>
  <c r="I70" i="10"/>
  <c r="I59" i="13"/>
  <c r="E66" i="25"/>
  <c r="F66" i="25" s="1"/>
  <c r="F59" i="45"/>
  <c r="H59" i="45" s="1"/>
  <c r="B59" i="45"/>
  <c r="I63" i="24"/>
  <c r="I57" i="41"/>
  <c r="I67" i="6"/>
  <c r="B62" i="31"/>
  <c r="F62" i="31"/>
  <c r="F69" i="11"/>
  <c r="B69" i="11"/>
  <c r="F70" i="7"/>
  <c r="B70" i="7"/>
  <c r="D60" i="13"/>
  <c r="E60" i="13" s="1"/>
  <c r="B59" i="39"/>
  <c r="F59" i="39"/>
  <c r="H59" i="39" s="1"/>
  <c r="B62" i="28"/>
  <c r="F62" i="28"/>
  <c r="I60" i="30"/>
  <c r="F66" i="22"/>
  <c r="B66" i="22"/>
  <c r="I67" i="8"/>
  <c r="B64" i="24"/>
  <c r="F64" i="24"/>
  <c r="B62" i="29"/>
  <c r="F62" i="29"/>
  <c r="I64" i="23"/>
  <c r="E68" i="6"/>
  <c r="F68" i="6" s="1"/>
  <c r="I68" i="11"/>
  <c r="I69" i="7"/>
  <c r="F67" i="5"/>
  <c r="B67" i="5"/>
  <c r="I66" i="3"/>
  <c r="F58" i="42"/>
  <c r="H58" i="42" s="1"/>
  <c r="B58" i="42"/>
  <c r="E68" i="8"/>
  <c r="F68" i="8" s="1"/>
  <c r="F58" i="40"/>
  <c r="H58" i="40" s="1"/>
  <c r="B58" i="40"/>
  <c r="B57" i="43"/>
  <c r="F57" i="43"/>
  <c r="G57" i="43" s="1"/>
  <c r="F58" i="41"/>
  <c r="G58" i="41" s="1"/>
  <c r="B58" i="41"/>
  <c r="B71" i="10"/>
  <c r="F71" i="10"/>
  <c r="F67" i="4"/>
  <c r="B67" i="4"/>
  <c r="B67" i="3"/>
  <c r="F67" i="3"/>
  <c r="B141" i="13"/>
  <c r="B140" i="44"/>
  <c r="H140" i="13"/>
  <c r="I140" i="13"/>
  <c r="H139" i="44"/>
  <c r="I139" i="44"/>
  <c r="G141" i="46"/>
  <c r="D142" i="46"/>
  <c r="E142" i="46" s="1"/>
  <c r="E141" i="13"/>
  <c r="F141" i="13" s="1"/>
  <c r="E140" i="44"/>
  <c r="F140" i="44" s="1"/>
  <c r="G59" i="39" l="1"/>
  <c r="G59" i="44"/>
  <c r="H59" i="44"/>
  <c r="I59" i="44" s="1"/>
  <c r="D60" i="44"/>
  <c r="G58" i="42"/>
  <c r="G59" i="38"/>
  <c r="H57" i="43"/>
  <c r="I57" i="43" s="1"/>
  <c r="I58" i="46"/>
  <c r="G141" i="45"/>
  <c r="D142" i="45"/>
  <c r="I59" i="39"/>
  <c r="H63" i="27"/>
  <c r="D64" i="27"/>
  <c r="E64" i="27" s="1"/>
  <c r="G63" i="27"/>
  <c r="H68" i="6"/>
  <c r="G68" i="6"/>
  <c r="D69" i="6"/>
  <c r="E69" i="6" s="1"/>
  <c r="H66" i="25"/>
  <c r="G66" i="25"/>
  <c r="D67" i="25"/>
  <c r="E67" i="25" s="1"/>
  <c r="D69" i="8"/>
  <c r="E69" i="8" s="1"/>
  <c r="G68" i="8"/>
  <c r="H68" i="8"/>
  <c r="I58" i="42"/>
  <c r="G62" i="29"/>
  <c r="H62" i="29"/>
  <c r="D63" i="29"/>
  <c r="E63" i="29" s="1"/>
  <c r="D63" i="28"/>
  <c r="G62" i="28"/>
  <c r="H62" i="28"/>
  <c r="H62" i="31"/>
  <c r="D63" i="31"/>
  <c r="G62" i="31"/>
  <c r="D60" i="45"/>
  <c r="E60" i="45" s="1"/>
  <c r="I59" i="38"/>
  <c r="D61" i="37"/>
  <c r="E61" i="37" s="1"/>
  <c r="G67" i="4"/>
  <c r="H67" i="4"/>
  <c r="D68" i="4"/>
  <c r="E68" i="4" s="1"/>
  <c r="H58" i="41"/>
  <c r="I58" i="41" s="1"/>
  <c r="D58" i="43"/>
  <c r="E58" i="43" s="1"/>
  <c r="D59" i="40"/>
  <c r="E59" i="40"/>
  <c r="D71" i="7"/>
  <c r="E71" i="7" s="1"/>
  <c r="G70" i="7"/>
  <c r="H70" i="7"/>
  <c r="G61" i="30"/>
  <c r="D62" i="30"/>
  <c r="H61" i="30"/>
  <c r="E62" i="30"/>
  <c r="G67" i="3"/>
  <c r="D68" i="3"/>
  <c r="E68" i="3" s="1"/>
  <c r="H67" i="3"/>
  <c r="G71" i="10"/>
  <c r="H71" i="10"/>
  <c r="D72" i="10"/>
  <c r="E72" i="10" s="1"/>
  <c r="E73" i="10" s="1"/>
  <c r="G58" i="40"/>
  <c r="I58" i="40" s="1"/>
  <c r="D59" i="42"/>
  <c r="E59" i="42" s="1"/>
  <c r="G64" i="24"/>
  <c r="D65" i="24"/>
  <c r="E65" i="24" s="1"/>
  <c r="H64" i="24"/>
  <c r="H66" i="22"/>
  <c r="G66" i="22"/>
  <c r="D67" i="22"/>
  <c r="E67" i="22" s="1"/>
  <c r="D60" i="39"/>
  <c r="E60" i="39"/>
  <c r="D60" i="38"/>
  <c r="E60" i="38" s="1"/>
  <c r="H60" i="37"/>
  <c r="I60" i="37" s="1"/>
  <c r="B70" i="9"/>
  <c r="F70" i="9"/>
  <c r="D59" i="41"/>
  <c r="E59" i="41"/>
  <c r="D68" i="5"/>
  <c r="E68" i="5" s="1"/>
  <c r="G67" i="5"/>
  <c r="H67" i="5"/>
  <c r="B60" i="13"/>
  <c r="F60" i="13"/>
  <c r="H60" i="13" s="1"/>
  <c r="D70" i="11"/>
  <c r="E70" i="11" s="1"/>
  <c r="G69" i="11"/>
  <c r="H69" i="11"/>
  <c r="G59" i="45"/>
  <c r="I59" i="45" s="1"/>
  <c r="D66" i="23"/>
  <c r="E66" i="23" s="1"/>
  <c r="G65" i="23"/>
  <c r="H65" i="23"/>
  <c r="I69" i="9"/>
  <c r="B59" i="46"/>
  <c r="F59" i="46"/>
  <c r="H59" i="46" s="1"/>
  <c r="D141" i="44"/>
  <c r="E141" i="44" s="1"/>
  <c r="G140" i="44"/>
  <c r="G141" i="13"/>
  <c r="D142" i="13"/>
  <c r="E142" i="13" s="1"/>
  <c r="H141" i="46"/>
  <c r="I141" i="46"/>
  <c r="B142" i="46"/>
  <c r="F142" i="46"/>
  <c r="E60" i="44" l="1"/>
  <c r="B60" i="44"/>
  <c r="F60" i="44"/>
  <c r="I64" i="24"/>
  <c r="I67" i="3"/>
  <c r="I66" i="22"/>
  <c r="I70" i="7"/>
  <c r="I71" i="10"/>
  <c r="E142" i="45"/>
  <c r="F142" i="45" s="1"/>
  <c r="B142" i="45"/>
  <c r="G59" i="46"/>
  <c r="I59" i="46" s="1"/>
  <c r="I61" i="30"/>
  <c r="F64" i="27"/>
  <c r="B64" i="27"/>
  <c r="I141" i="45"/>
  <c r="H141" i="45"/>
  <c r="I62" i="29"/>
  <c r="I68" i="8"/>
  <c r="I63" i="27"/>
  <c r="D61" i="13"/>
  <c r="E61" i="13" s="1"/>
  <c r="G70" i="9"/>
  <c r="H70" i="9"/>
  <c r="D71" i="9"/>
  <c r="E71" i="9" s="1"/>
  <c r="F60" i="38"/>
  <c r="G60" i="38" s="1"/>
  <c r="B60" i="38"/>
  <c r="F60" i="39"/>
  <c r="G60" i="39" s="1"/>
  <c r="B60" i="39"/>
  <c r="F72" i="10"/>
  <c r="B72" i="10"/>
  <c r="B71" i="7"/>
  <c r="F71" i="7"/>
  <c r="B58" i="43"/>
  <c r="F58" i="43"/>
  <c r="H58" i="43" s="1"/>
  <c r="I67" i="4"/>
  <c r="I62" i="28"/>
  <c r="F63" i="29"/>
  <c r="B63" i="29"/>
  <c r="I65" i="23"/>
  <c r="F70" i="11"/>
  <c r="B70" i="11"/>
  <c r="B63" i="31"/>
  <c r="F67" i="25"/>
  <c r="B67" i="25"/>
  <c r="B69" i="6"/>
  <c r="F69" i="6"/>
  <c r="F67" i="22"/>
  <c r="B67" i="22"/>
  <c r="F59" i="42"/>
  <c r="H59" i="42" s="1"/>
  <c r="B59" i="42"/>
  <c r="F68" i="3"/>
  <c r="B68" i="3"/>
  <c r="B62" i="30"/>
  <c r="F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F66" i="23"/>
  <c r="B66" i="23"/>
  <c r="I69" i="11"/>
  <c r="G60" i="13"/>
  <c r="I60" i="13" s="1"/>
  <c r="F68" i="5"/>
  <c r="B68" i="5"/>
  <c r="F59" i="41"/>
  <c r="H59" i="41" s="1"/>
  <c r="B59" i="41"/>
  <c r="B65" i="24"/>
  <c r="F65" i="24"/>
  <c r="B68" i="4"/>
  <c r="F68" i="4"/>
  <c r="E63" i="31"/>
  <c r="F63" i="31" s="1"/>
  <c r="E63" i="28"/>
  <c r="F63" i="28" s="1"/>
  <c r="F69" i="8"/>
  <c r="B69" i="8"/>
  <c r="I66" i="25"/>
  <c r="I68" i="6"/>
  <c r="I141" i="13"/>
  <c r="H141" i="13"/>
  <c r="H140" i="44"/>
  <c r="I140" i="44"/>
  <c r="D143" i="46"/>
  <c r="G142" i="46"/>
  <c r="B142" i="13"/>
  <c r="F142" i="13"/>
  <c r="B141" i="44"/>
  <c r="F141" i="44"/>
  <c r="H60" i="44" l="1"/>
  <c r="D61" i="44"/>
  <c r="G60" i="44"/>
  <c r="I60" i="44" s="1"/>
  <c r="G59" i="41"/>
  <c r="I59" i="41" s="1"/>
  <c r="I70" i="9"/>
  <c r="H60" i="39"/>
  <c r="H59" i="40"/>
  <c r="I59" i="40" s="1"/>
  <c r="G59" i="42"/>
  <c r="I59" i="42" s="1"/>
  <c r="G58" i="43"/>
  <c r="I58" i="43" s="1"/>
  <c r="I60" i="39"/>
  <c r="D65" i="27"/>
  <c r="G64" i="27"/>
  <c r="H64" i="27"/>
  <c r="D143" i="45"/>
  <c r="G142" i="45"/>
  <c r="D64" i="28"/>
  <c r="E64" i="28" s="1"/>
  <c r="G63" i="28"/>
  <c r="H63" i="28"/>
  <c r="H63" i="31"/>
  <c r="D64" i="31"/>
  <c r="G63" i="31"/>
  <c r="D70" i="8"/>
  <c r="E70" i="8" s="1"/>
  <c r="G69" i="8"/>
  <c r="H69" i="8"/>
  <c r="D69" i="5"/>
  <c r="H68" i="5"/>
  <c r="G68" i="5"/>
  <c r="D67" i="23"/>
  <c r="G66" i="23"/>
  <c r="H66" i="23"/>
  <c r="D61" i="45"/>
  <c r="E61" i="45" s="1"/>
  <c r="H61" i="37"/>
  <c r="I61" i="37" s="1"/>
  <c r="H69" i="6"/>
  <c r="D70" i="6"/>
  <c r="G69" i="6"/>
  <c r="H70" i="11"/>
  <c r="D71" i="11"/>
  <c r="G70" i="11"/>
  <c r="H60" i="38"/>
  <c r="I60" i="38" s="1"/>
  <c r="H65" i="24"/>
  <c r="D66" i="24"/>
  <c r="E66" i="24" s="1"/>
  <c r="G65" i="24"/>
  <c r="H60" i="45"/>
  <c r="D60" i="40"/>
  <c r="E60" i="40"/>
  <c r="H68" i="3"/>
  <c r="D69" i="3"/>
  <c r="G68" i="3"/>
  <c r="D60" i="42"/>
  <c r="E60" i="42"/>
  <c r="H72" i="10"/>
  <c r="G72" i="10"/>
  <c r="G73" i="10" s="1"/>
  <c r="D61" i="39"/>
  <c r="E61" i="39" s="1"/>
  <c r="D60" i="41"/>
  <c r="E60" i="41"/>
  <c r="F60" i="46"/>
  <c r="G60" i="46" s="1"/>
  <c r="B60" i="46"/>
  <c r="G62" i="30"/>
  <c r="D63" i="30"/>
  <c r="E63" i="30" s="1"/>
  <c r="H62" i="30"/>
  <c r="D59" i="43"/>
  <c r="E59" i="43" s="1"/>
  <c r="G71" i="7"/>
  <c r="H71" i="7"/>
  <c r="D72" i="7"/>
  <c r="G68" i="4"/>
  <c r="D69" i="4"/>
  <c r="H68" i="4"/>
  <c r="G60" i="45"/>
  <c r="D62" i="37"/>
  <c r="E62" i="37" s="1"/>
  <c r="D68" i="22"/>
  <c r="E68" i="22" s="1"/>
  <c r="H67" i="22"/>
  <c r="G67" i="22"/>
  <c r="D68" i="25"/>
  <c r="E68" i="25" s="1"/>
  <c r="G67" i="25"/>
  <c r="H67" i="25"/>
  <c r="H63" i="29"/>
  <c r="G63" i="29"/>
  <c r="D64" i="29"/>
  <c r="E64" i="29" s="1"/>
  <c r="D61" i="38"/>
  <c r="E61" i="38"/>
  <c r="F71" i="9"/>
  <c r="B71" i="9"/>
  <c r="F61" i="13"/>
  <c r="H61" i="13" s="1"/>
  <c r="B61" i="13"/>
  <c r="D142" i="44"/>
  <c r="E142" i="44" s="1"/>
  <c r="G141" i="44"/>
  <c r="D143" i="13"/>
  <c r="E143" i="13" s="1"/>
  <c r="G142" i="13"/>
  <c r="B143" i="46"/>
  <c r="H142" i="46"/>
  <c r="I142" i="46"/>
  <c r="E143" i="46"/>
  <c r="F143" i="46" s="1"/>
  <c r="I67" i="25" l="1"/>
  <c r="E61" i="44"/>
  <c r="F61" i="44" s="1"/>
  <c r="B61" i="44"/>
  <c r="H60" i="46"/>
  <c r="I60" i="46" s="1"/>
  <c r="I63" i="28"/>
  <c r="G61" i="13"/>
  <c r="I61" i="13" s="1"/>
  <c r="I68" i="4"/>
  <c r="I71" i="7"/>
  <c r="I68" i="3"/>
  <c r="H142" i="45"/>
  <c r="I142" i="45"/>
  <c r="E143" i="45"/>
  <c r="F143" i="45" s="1"/>
  <c r="B143" i="45"/>
  <c r="B65" i="27"/>
  <c r="I63" i="29"/>
  <c r="I69" i="6"/>
  <c r="I64" i="27"/>
  <c r="I65" i="24"/>
  <c r="I70" i="11"/>
  <c r="E65" i="27"/>
  <c r="F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G71" i="9"/>
  <c r="H71" i="9"/>
  <c r="B64" i="29"/>
  <c r="F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E71" i="11"/>
  <c r="F71" i="11" s="1"/>
  <c r="E70" i="6"/>
  <c r="F70" i="6" s="1"/>
  <c r="F61" i="45"/>
  <c r="H61" i="45" s="1"/>
  <c r="B61" i="45"/>
  <c r="B67" i="23"/>
  <c r="B69" i="5"/>
  <c r="B70" i="8"/>
  <c r="F70" i="8"/>
  <c r="I63" i="31"/>
  <c r="D62" i="13"/>
  <c r="E62" i="13" s="1"/>
  <c r="B61" i="38"/>
  <c r="F61" i="38"/>
  <c r="G61" i="38" s="1"/>
  <c r="B68" i="25"/>
  <c r="F68" i="25"/>
  <c r="F68" i="22"/>
  <c r="B68" i="22"/>
  <c r="E69" i="4"/>
  <c r="F69" i="4" s="1"/>
  <c r="E72" i="7"/>
  <c r="E73" i="7" s="1"/>
  <c r="F63" i="30"/>
  <c r="B63" i="30"/>
  <c r="D61" i="46"/>
  <c r="B60" i="40"/>
  <c r="F60" i="40"/>
  <c r="H60" i="40" s="1"/>
  <c r="F66" i="24"/>
  <c r="B66" i="24"/>
  <c r="E67" i="23"/>
  <c r="F67" i="23" s="1"/>
  <c r="E69" i="5"/>
  <c r="F69" i="5" s="1"/>
  <c r="E64" i="31"/>
  <c r="F64" i="31" s="1"/>
  <c r="B64" i="28"/>
  <c r="F64" i="28"/>
  <c r="D144" i="46"/>
  <c r="E144" i="46" s="1"/>
  <c r="G143" i="46"/>
  <c r="I142" i="13"/>
  <c r="H142" i="13"/>
  <c r="B142" i="44"/>
  <c r="F142" i="44"/>
  <c r="B143" i="13"/>
  <c r="F143" i="13"/>
  <c r="H141" i="44"/>
  <c r="I141" i="44"/>
  <c r="H61" i="44" l="1"/>
  <c r="D62" i="44"/>
  <c r="G61" i="44"/>
  <c r="I61" i="44" s="1"/>
  <c r="I71" i="9"/>
  <c r="G61" i="45"/>
  <c r="I61" i="45" s="1"/>
  <c r="G60" i="41"/>
  <c r="I60" i="41" s="1"/>
  <c r="H59" i="43"/>
  <c r="I59" i="43" s="1"/>
  <c r="G65" i="27"/>
  <c r="D66" i="27"/>
  <c r="H65" i="27"/>
  <c r="D144" i="45"/>
  <c r="G143" i="45"/>
  <c r="H60" i="42"/>
  <c r="I60" i="42" s="1"/>
  <c r="H71" i="11"/>
  <c r="G71" i="11"/>
  <c r="D72" i="11"/>
  <c r="E72" i="11" s="1"/>
  <c r="E73" i="11" s="1"/>
  <c r="H69" i="5"/>
  <c r="D70" i="5"/>
  <c r="E70" i="5" s="1"/>
  <c r="G69" i="5"/>
  <c r="G69" i="3"/>
  <c r="H69" i="3"/>
  <c r="D70" i="3"/>
  <c r="E70" i="3" s="1"/>
  <c r="G69" i="4"/>
  <c r="D70" i="4"/>
  <c r="E70" i="4" s="1"/>
  <c r="H69" i="4"/>
  <c r="G67" i="23"/>
  <c r="H67" i="23"/>
  <c r="D68" i="23"/>
  <c r="H64" i="31"/>
  <c r="D65" i="31"/>
  <c r="G64" i="31"/>
  <c r="H70" i="6"/>
  <c r="D71" i="6"/>
  <c r="G70" i="6"/>
  <c r="H66" i="24"/>
  <c r="D67" i="24"/>
  <c r="G66" i="24"/>
  <c r="H63" i="30"/>
  <c r="D64" i="30"/>
  <c r="G63" i="30"/>
  <c r="D69" i="22"/>
  <c r="G68" i="22"/>
  <c r="H68" i="22"/>
  <c r="B72" i="9"/>
  <c r="D62" i="39"/>
  <c r="E62" i="39" s="1"/>
  <c r="G60" i="40"/>
  <c r="I60" i="40" s="1"/>
  <c r="B61" i="46"/>
  <c r="H68" i="25"/>
  <c r="D69" i="25"/>
  <c r="E69" i="25" s="1"/>
  <c r="G68" i="25"/>
  <c r="H61" i="38"/>
  <c r="I61" i="38" s="1"/>
  <c r="D63" i="37"/>
  <c r="D65" i="28"/>
  <c r="G64" i="28"/>
  <c r="H64" i="28"/>
  <c r="E61" i="46"/>
  <c r="F61" i="46" s="1"/>
  <c r="D71" i="8"/>
  <c r="G70" i="8"/>
  <c r="H70" i="8"/>
  <c r="D62" i="45"/>
  <c r="D61" i="41"/>
  <c r="E61" i="41" s="1"/>
  <c r="G61" i="39"/>
  <c r="D60" i="43"/>
  <c r="E60" i="43" s="1"/>
  <c r="F72" i="7"/>
  <c r="D61" i="40"/>
  <c r="E61" i="40" s="1"/>
  <c r="D62" i="38"/>
  <c r="E62" i="38"/>
  <c r="F62" i="13"/>
  <c r="G62" i="13" s="1"/>
  <c r="B62" i="13"/>
  <c r="D61" i="42"/>
  <c r="E61" i="42" s="1"/>
  <c r="H62" i="37"/>
  <c r="I62" i="37" s="1"/>
  <c r="G64" i="29"/>
  <c r="H64" i="29"/>
  <c r="D65" i="29"/>
  <c r="E65" i="29" s="1"/>
  <c r="E72" i="9"/>
  <c r="E73" i="9" s="1"/>
  <c r="H61" i="39"/>
  <c r="D144" i="13"/>
  <c r="G143" i="13"/>
  <c r="D143" i="44"/>
  <c r="G142" i="44"/>
  <c r="I143" i="46"/>
  <c r="H143" i="46"/>
  <c r="B144" i="46"/>
  <c r="F144" i="46"/>
  <c r="E62" i="44" l="1"/>
  <c r="B62" i="44"/>
  <c r="F62" i="44"/>
  <c r="I66" i="24"/>
  <c r="I67" i="23"/>
  <c r="I65" i="27"/>
  <c r="I70" i="6"/>
  <c r="I63" i="30"/>
  <c r="I143" i="45"/>
  <c r="H143" i="45"/>
  <c r="E66" i="27"/>
  <c r="F66" i="27" s="1"/>
  <c r="B66" i="27"/>
  <c r="I64" i="31"/>
  <c r="I69" i="4"/>
  <c r="I69" i="3"/>
  <c r="E144" i="45"/>
  <c r="F144" i="45" s="1"/>
  <c r="B144" i="45"/>
  <c r="D62" i="46"/>
  <c r="E62" i="46" s="1"/>
  <c r="G61" i="46"/>
  <c r="H61" i="46"/>
  <c r="D63" i="13"/>
  <c r="E63" i="13" s="1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F70" i="3"/>
  <c r="B72" i="11"/>
  <c r="F72" i="11"/>
  <c r="B62" i="38"/>
  <c r="F62" i="38"/>
  <c r="G62" i="38" s="1"/>
  <c r="E62" i="45"/>
  <c r="F62" i="45" s="1"/>
  <c r="B71" i="8"/>
  <c r="E65" i="28"/>
  <c r="F65" i="28" s="1"/>
  <c r="B63" i="37"/>
  <c r="B69" i="22"/>
  <c r="F70" i="4"/>
  <c r="B70" i="4"/>
  <c r="F70" i="5"/>
  <c r="B70" i="5"/>
  <c r="F65" i="29"/>
  <c r="B65" i="29"/>
  <c r="I61" i="39"/>
  <c r="I64" i="29"/>
  <c r="B61" i="42"/>
  <c r="F61" i="42"/>
  <c r="H61" i="42" s="1"/>
  <c r="H62" i="13"/>
  <c r="I62" i="13" s="1"/>
  <c r="G72" i="7"/>
  <c r="G73" i="7" s="1"/>
  <c r="H72" i="7"/>
  <c r="E71" i="8"/>
  <c r="F71" i="8" s="1"/>
  <c r="I64" i="28"/>
  <c r="E63" i="37"/>
  <c r="F63" i="37" s="1"/>
  <c r="F69" i="25"/>
  <c r="B69" i="25"/>
  <c r="F62" i="39"/>
  <c r="G62" i="39" s="1"/>
  <c r="B62" i="39"/>
  <c r="E69" i="22"/>
  <c r="F69" i="22" s="1"/>
  <c r="E64" i="30"/>
  <c r="F64" i="30" s="1"/>
  <c r="E67" i="24"/>
  <c r="F67" i="24" s="1"/>
  <c r="E71" i="6"/>
  <c r="F71" i="6" s="1"/>
  <c r="E65" i="31"/>
  <c r="F65" i="31" s="1"/>
  <c r="E68" i="23"/>
  <c r="F68" i="23" s="1"/>
  <c r="I71" i="11"/>
  <c r="B143" i="44"/>
  <c r="G144" i="46"/>
  <c r="D145" i="46"/>
  <c r="H143" i="13"/>
  <c r="I143" i="13"/>
  <c r="H142" i="44"/>
  <c r="I142" i="44"/>
  <c r="B144" i="13"/>
  <c r="E143" i="44"/>
  <c r="F143" i="44" s="1"/>
  <c r="E144" i="13"/>
  <c r="F144" i="13" s="1"/>
  <c r="G62" i="44" l="1"/>
  <c r="H62" i="44"/>
  <c r="I62" i="44" s="1"/>
  <c r="D63" i="44"/>
  <c r="I61" i="46"/>
  <c r="H62" i="39"/>
  <c r="I62" i="39" s="1"/>
  <c r="H61" i="40"/>
  <c r="I61" i="40" s="1"/>
  <c r="G61" i="42"/>
  <c r="I61" i="42" s="1"/>
  <c r="G66" i="27"/>
  <c r="H66" i="27"/>
  <c r="D67" i="27"/>
  <c r="D145" i="45"/>
  <c r="G144" i="45"/>
  <c r="H69" i="22"/>
  <c r="G69" i="22"/>
  <c r="D70" i="22"/>
  <c r="E70" i="22" s="1"/>
  <c r="H65" i="28"/>
  <c r="G65" i="28"/>
  <c r="D66" i="28"/>
  <c r="E66" i="28" s="1"/>
  <c r="H71" i="6"/>
  <c r="G71" i="6"/>
  <c r="D72" i="6"/>
  <c r="E72" i="6" s="1"/>
  <c r="E73" i="6" s="1"/>
  <c r="G65" i="31"/>
  <c r="H65" i="31"/>
  <c r="D66" i="31"/>
  <c r="E66" i="31" s="1"/>
  <c r="G67" i="24"/>
  <c r="H67" i="24"/>
  <c r="D68" i="24"/>
  <c r="E68" i="24" s="1"/>
  <c r="D69" i="23"/>
  <c r="E69" i="23" s="1"/>
  <c r="G68" i="23"/>
  <c r="H68" i="23"/>
  <c r="I68" i="23" s="1"/>
  <c r="H64" i="30"/>
  <c r="D65" i="30"/>
  <c r="E65" i="30" s="1"/>
  <c r="G64" i="30"/>
  <c r="D64" i="37"/>
  <c r="H63" i="37"/>
  <c r="G63" i="37"/>
  <c r="D63" i="45"/>
  <c r="E63" i="45" s="1"/>
  <c r="G62" i="45"/>
  <c r="H62" i="45"/>
  <c r="D70" i="25"/>
  <c r="E70" i="25" s="1"/>
  <c r="G69" i="25"/>
  <c r="H69" i="25"/>
  <c r="I69" i="25" s="1"/>
  <c r="D63" i="38"/>
  <c r="E63" i="38" s="1"/>
  <c r="D71" i="3"/>
  <c r="H70" i="3"/>
  <c r="G70" i="3"/>
  <c r="D61" i="43"/>
  <c r="E61" i="43" s="1"/>
  <c r="I72" i="7"/>
  <c r="I73" i="7" s="1"/>
  <c r="H73" i="7"/>
  <c r="G70" i="5"/>
  <c r="D71" i="5"/>
  <c r="E71" i="5" s="1"/>
  <c r="H70" i="5"/>
  <c r="D62" i="41"/>
  <c r="E62" i="41" s="1"/>
  <c r="D63" i="39"/>
  <c r="E63" i="39" s="1"/>
  <c r="D62" i="42"/>
  <c r="E62" i="42" s="1"/>
  <c r="H62" i="38"/>
  <c r="I62" i="38" s="1"/>
  <c r="H72" i="11"/>
  <c r="G72" i="11"/>
  <c r="G73" i="11" s="1"/>
  <c r="G60" i="43"/>
  <c r="I60" i="43" s="1"/>
  <c r="G61" i="41"/>
  <c r="I61" i="41" s="1"/>
  <c r="D62" i="40"/>
  <c r="E62" i="40" s="1"/>
  <c r="G65" i="29"/>
  <c r="H65" i="29"/>
  <c r="D66" i="29"/>
  <c r="E66" i="29" s="1"/>
  <c r="H70" i="4"/>
  <c r="G70" i="4"/>
  <c r="D71" i="4"/>
  <c r="E71" i="4" s="1"/>
  <c r="H71" i="8"/>
  <c r="G71" i="8"/>
  <c r="D72" i="8"/>
  <c r="E72" i="8" s="1"/>
  <c r="E73" i="8" s="1"/>
  <c r="H72" i="9"/>
  <c r="G72" i="9"/>
  <c r="G73" i="9" s="1"/>
  <c r="B63" i="13"/>
  <c r="F63" i="13"/>
  <c r="G63" i="13" s="1"/>
  <c r="F62" i="46"/>
  <c r="H62" i="46" s="1"/>
  <c r="B62" i="46"/>
  <c r="G144" i="13"/>
  <c r="D145" i="13"/>
  <c r="E145" i="13" s="1"/>
  <c r="D144" i="44"/>
  <c r="E144" i="44" s="1"/>
  <c r="G143" i="44"/>
  <c r="B145" i="46"/>
  <c r="I144" i="46"/>
  <c r="H144" i="46"/>
  <c r="E145" i="46"/>
  <c r="F145" i="46" s="1"/>
  <c r="I70" i="4" l="1"/>
  <c r="E63" i="44"/>
  <c r="F63" i="44" s="1"/>
  <c r="B63" i="44"/>
  <c r="I66" i="27"/>
  <c r="G62" i="46"/>
  <c r="I62" i="46" s="1"/>
  <c r="I63" i="37"/>
  <c r="H63" i="13"/>
  <c r="I63" i="13" s="1"/>
  <c r="B67" i="27"/>
  <c r="I71" i="8"/>
  <c r="H144" i="45"/>
  <c r="I144" i="45"/>
  <c r="E67" i="27"/>
  <c r="F67" i="27" s="1"/>
  <c r="I65" i="31"/>
  <c r="E145" i="45"/>
  <c r="F145" i="45" s="1"/>
  <c r="B145" i="45"/>
  <c r="D64" i="13"/>
  <c r="E64" i="13" s="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F68" i="24"/>
  <c r="B68" i="24"/>
  <c r="F66" i="31"/>
  <c r="B66" i="31"/>
  <c r="F72" i="6"/>
  <c r="B72" i="6"/>
  <c r="F66" i="28"/>
  <c r="B66" i="28"/>
  <c r="B70" i="22"/>
  <c r="F70" i="22"/>
  <c r="I72" i="9"/>
  <c r="I73" i="9" s="1"/>
  <c r="H73" i="9"/>
  <c r="D63" i="46"/>
  <c r="E63" i="46" s="1"/>
  <c r="B71" i="5"/>
  <c r="F71" i="5"/>
  <c r="E71" i="3"/>
  <c r="F71" i="3" s="1"/>
  <c r="B64" i="37"/>
  <c r="F65" i="30"/>
  <c r="B65" i="30"/>
  <c r="I67" i="24"/>
  <c r="F72" i="8"/>
  <c r="B72" i="8"/>
  <c r="B71" i="4"/>
  <c r="F71" i="4"/>
  <c r="F66" i="29"/>
  <c r="B66" i="29"/>
  <c r="F62" i="40"/>
  <c r="H62" i="40" s="1"/>
  <c r="B62" i="40"/>
  <c r="B62" i="42"/>
  <c r="F62" i="42"/>
  <c r="H62" i="42" s="1"/>
  <c r="B63" i="38"/>
  <c r="F63" i="38"/>
  <c r="G63" i="38" s="1"/>
  <c r="F70" i="25"/>
  <c r="B70" i="25"/>
  <c r="F63" i="45"/>
  <c r="H63" i="45" s="1"/>
  <c r="B63" i="45"/>
  <c r="E64" i="37"/>
  <c r="F64" i="37" s="1"/>
  <c r="H64" i="37" s="1"/>
  <c r="I64" i="30"/>
  <c r="B69" i="23"/>
  <c r="F69" i="23"/>
  <c r="I71" i="6"/>
  <c r="I65" i="28"/>
  <c r="I69" i="22"/>
  <c r="D146" i="46"/>
  <c r="E146" i="46" s="1"/>
  <c r="G145" i="46"/>
  <c r="I143" i="44"/>
  <c r="H143" i="44"/>
  <c r="B144" i="44"/>
  <c r="F144" i="44"/>
  <c r="F145" i="13"/>
  <c r="B145" i="13"/>
  <c r="H144" i="13"/>
  <c r="I144" i="13"/>
  <c r="D64" i="44" l="1"/>
  <c r="G63" i="44"/>
  <c r="H63" i="44"/>
  <c r="H63" i="38"/>
  <c r="I63" i="38" s="1"/>
  <c r="G63" i="45"/>
  <c r="G145" i="45"/>
  <c r="D146" i="45"/>
  <c r="G67" i="27"/>
  <c r="D68" i="27"/>
  <c r="B68" i="27" s="1"/>
  <c r="H67" i="27"/>
  <c r="H61" i="43"/>
  <c r="I61" i="43" s="1"/>
  <c r="G71" i="3"/>
  <c r="H71" i="3"/>
  <c r="D72" i="3"/>
  <c r="E72" i="3" s="1"/>
  <c r="E73" i="3" s="1"/>
  <c r="G69" i="23"/>
  <c r="H69" i="23"/>
  <c r="D70" i="23"/>
  <c r="E70" i="23" s="1"/>
  <c r="I63" i="45"/>
  <c r="H71" i="4"/>
  <c r="D72" i="4"/>
  <c r="E72" i="4" s="1"/>
  <c r="E73" i="4" s="1"/>
  <c r="G71" i="4"/>
  <c r="D72" i="5"/>
  <c r="E72" i="5" s="1"/>
  <c r="E73" i="5" s="1"/>
  <c r="H71" i="5"/>
  <c r="G71" i="5"/>
  <c r="G62" i="41"/>
  <c r="I62" i="41" s="1"/>
  <c r="D71" i="25"/>
  <c r="G70" i="25"/>
  <c r="H70" i="25"/>
  <c r="D63" i="40"/>
  <c r="E63" i="40"/>
  <c r="D65" i="37"/>
  <c r="E65" i="37" s="1"/>
  <c r="H66" i="28"/>
  <c r="D67" i="28"/>
  <c r="G66" i="28"/>
  <c r="G66" i="31"/>
  <c r="D67" i="31"/>
  <c r="H66" i="31"/>
  <c r="D62" i="43"/>
  <c r="E62" i="43" s="1"/>
  <c r="F64" i="13"/>
  <c r="H64" i="13" s="1"/>
  <c r="B64" i="13"/>
  <c r="D63" i="42"/>
  <c r="G65" i="30"/>
  <c r="H65" i="30"/>
  <c r="D66" i="30"/>
  <c r="H70" i="22"/>
  <c r="D71" i="22"/>
  <c r="G70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H66" i="29"/>
  <c r="D67" i="29"/>
  <c r="G66" i="29"/>
  <c r="H72" i="8"/>
  <c r="G72" i="8"/>
  <c r="G73" i="8" s="1"/>
  <c r="G64" i="37"/>
  <c r="I64" i="37" s="1"/>
  <c r="B63" i="46"/>
  <c r="F63" i="46"/>
  <c r="G63" i="46" s="1"/>
  <c r="G72" i="6"/>
  <c r="G73" i="6" s="1"/>
  <c r="H72" i="6"/>
  <c r="H68" i="24"/>
  <c r="G68" i="24"/>
  <c r="D69" i="24"/>
  <c r="E69" i="24" s="1"/>
  <c r="G63" i="39"/>
  <c r="I63" i="39" s="1"/>
  <c r="G144" i="44"/>
  <c r="D145" i="44"/>
  <c r="E145" i="44" s="1"/>
  <c r="I145" i="46"/>
  <c r="H145" i="46"/>
  <c r="G145" i="13"/>
  <c r="D146" i="13"/>
  <c r="E146" i="13" s="1"/>
  <c r="F146" i="46"/>
  <c r="B146" i="46"/>
  <c r="I63" i="44" l="1"/>
  <c r="E64" i="44"/>
  <c r="B64" i="44"/>
  <c r="F64" i="44"/>
  <c r="I66" i="28"/>
  <c r="I65" i="30"/>
  <c r="I66" i="29"/>
  <c r="I70" i="22"/>
  <c r="E68" i="27"/>
  <c r="F68" i="27" s="1"/>
  <c r="E146" i="45"/>
  <c r="F146" i="45" s="1"/>
  <c r="B146" i="45"/>
  <c r="I68" i="24"/>
  <c r="H63" i="46"/>
  <c r="I63" i="46" s="1"/>
  <c r="I67" i="27"/>
  <c r="H145" i="45"/>
  <c r="I145" i="45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B69" i="24"/>
  <c r="E67" i="29"/>
  <c r="F67" i="29" s="1"/>
  <c r="D65" i="13"/>
  <c r="E65" i="13" s="1"/>
  <c r="B62" i="43"/>
  <c r="F62" i="43"/>
  <c r="G62" i="43" s="1"/>
  <c r="B63" i="40"/>
  <c r="F63" i="40"/>
  <c r="H63" i="40" s="1"/>
  <c r="B71" i="25"/>
  <c r="B72" i="4"/>
  <c r="F72" i="4"/>
  <c r="F70" i="23"/>
  <c r="B70" i="23"/>
  <c r="B64" i="38"/>
  <c r="F64" i="38"/>
  <c r="H64" i="38" s="1"/>
  <c r="B67" i="28"/>
  <c r="D64" i="46"/>
  <c r="E64" i="46" s="1"/>
  <c r="F64" i="45"/>
  <c r="H64" i="45"/>
  <c r="B64" i="45"/>
  <c r="B63" i="41"/>
  <c r="F63" i="41"/>
  <c r="H63" i="41" s="1"/>
  <c r="E71" i="22"/>
  <c r="F71" i="22" s="1"/>
  <c r="E66" i="30"/>
  <c r="F66" i="30" s="1"/>
  <c r="E63" i="42"/>
  <c r="F63" i="42" s="1"/>
  <c r="G64" i="13"/>
  <c r="I64" i="13" s="1"/>
  <c r="E67" i="31"/>
  <c r="F67" i="31" s="1"/>
  <c r="E67" i="28"/>
  <c r="F67" i="28" s="1"/>
  <c r="F65" i="37"/>
  <c r="G65" i="37" s="1"/>
  <c r="B65" i="37"/>
  <c r="E71" i="25"/>
  <c r="F71" i="25" s="1"/>
  <c r="B72" i="5"/>
  <c r="F72" i="5"/>
  <c r="I71" i="4"/>
  <c r="I69" i="23"/>
  <c r="F72" i="3"/>
  <c r="B72" i="3"/>
  <c r="H145" i="13"/>
  <c r="I145" i="13"/>
  <c r="F145" i="44"/>
  <c r="B145" i="44"/>
  <c r="D147" i="46"/>
  <c r="E147" i="46" s="1"/>
  <c r="G146" i="46"/>
  <c r="H144" i="44"/>
  <c r="I144" i="44"/>
  <c r="B146" i="13"/>
  <c r="F146" i="13"/>
  <c r="G63" i="41" l="1"/>
  <c r="G64" i="44"/>
  <c r="D65" i="44"/>
  <c r="H64" i="44"/>
  <c r="I64" i="44" s="1"/>
  <c r="I63" i="41"/>
  <c r="D147" i="45"/>
  <c r="B147" i="45" s="1"/>
  <c r="G146" i="45"/>
  <c r="H68" i="27"/>
  <c r="G68" i="27"/>
  <c r="D69" i="27"/>
  <c r="E69" i="27" s="1"/>
  <c r="D64" i="42"/>
  <c r="E64" i="42" s="1"/>
  <c r="H63" i="42"/>
  <c r="G63" i="42"/>
  <c r="H66" i="30"/>
  <c r="G66" i="30"/>
  <c r="D67" i="30"/>
  <c r="E67" i="30" s="1"/>
  <c r="G67" i="29"/>
  <c r="D68" i="29"/>
  <c r="H67" i="29"/>
  <c r="I67" i="29" s="1"/>
  <c r="H67" i="28"/>
  <c r="D68" i="28"/>
  <c r="G67" i="28"/>
  <c r="D68" i="31"/>
  <c r="H67" i="31"/>
  <c r="G67" i="31"/>
  <c r="D65" i="39"/>
  <c r="E65" i="39" s="1"/>
  <c r="H64" i="39"/>
  <c r="G64" i="39"/>
  <c r="G72" i="5"/>
  <c r="G73" i="5" s="1"/>
  <c r="H72" i="5"/>
  <c r="H73" i="5" s="1"/>
  <c r="D65" i="45"/>
  <c r="H72" i="4"/>
  <c r="G72" i="4"/>
  <c r="G73" i="4" s="1"/>
  <c r="D63" i="43"/>
  <c r="E63" i="43" s="1"/>
  <c r="H69" i="24"/>
  <c r="G69" i="24"/>
  <c r="D70" i="24"/>
  <c r="E70" i="24" s="1"/>
  <c r="H70" i="23"/>
  <c r="G70" i="23"/>
  <c r="D71" i="23"/>
  <c r="E71" i="23" s="1"/>
  <c r="D72" i="25"/>
  <c r="E72" i="25" s="1"/>
  <c r="E73" i="25" s="1"/>
  <c r="H71" i="25"/>
  <c r="G71" i="25"/>
  <c r="D66" i="37"/>
  <c r="E66" i="37" s="1"/>
  <c r="D64" i="40"/>
  <c r="E64" i="40" s="1"/>
  <c r="F65" i="13"/>
  <c r="G65" i="13" s="1"/>
  <c r="B65" i="13"/>
  <c r="D65" i="38"/>
  <c r="E65" i="38" s="1"/>
  <c r="H71" i="22"/>
  <c r="D72" i="22"/>
  <c r="E72" i="22" s="1"/>
  <c r="E73" i="22" s="1"/>
  <c r="G71" i="22"/>
  <c r="H72" i="3"/>
  <c r="G72" i="3"/>
  <c r="G73" i="3" s="1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G145" i="44"/>
  <c r="D146" i="44"/>
  <c r="E146" i="44" s="1"/>
  <c r="I146" i="46"/>
  <c r="H146" i="46"/>
  <c r="F147" i="46"/>
  <c r="B147" i="46"/>
  <c r="E147" i="45" l="1"/>
  <c r="F147" i="45" s="1"/>
  <c r="E65" i="44"/>
  <c r="F65" i="44" s="1"/>
  <c r="B65" i="44"/>
  <c r="I68" i="27"/>
  <c r="I71" i="22"/>
  <c r="H65" i="13"/>
  <c r="I65" i="13" s="1"/>
  <c r="I66" i="30"/>
  <c r="B69" i="27"/>
  <c r="F69" i="27"/>
  <c r="I146" i="45"/>
  <c r="H146" i="45"/>
  <c r="F64" i="41"/>
  <c r="G64" i="41" s="1"/>
  <c r="B64" i="41"/>
  <c r="F64" i="40"/>
  <c r="G64" i="40" s="1"/>
  <c r="B64" i="40"/>
  <c r="F70" i="24"/>
  <c r="B70" i="24"/>
  <c r="B63" i="43"/>
  <c r="F63" i="43"/>
  <c r="H63" i="43" s="1"/>
  <c r="B65" i="39"/>
  <c r="F65" i="39"/>
  <c r="G65" i="39" s="1"/>
  <c r="I67" i="31"/>
  <c r="B68" i="28"/>
  <c r="B68" i="29"/>
  <c r="F67" i="30"/>
  <c r="B67" i="30"/>
  <c r="I63" i="42"/>
  <c r="B71" i="23"/>
  <c r="F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F72" i="22"/>
  <c r="B72" i="22"/>
  <c r="D66" i="13"/>
  <c r="F66" i="37"/>
  <c r="H66" i="37" s="1"/>
  <c r="B66" i="37"/>
  <c r="F72" i="25"/>
  <c r="B72" i="25"/>
  <c r="I70" i="23"/>
  <c r="I69" i="24"/>
  <c r="I72" i="4"/>
  <c r="I73" i="4" s="1"/>
  <c r="H73" i="4"/>
  <c r="E65" i="45"/>
  <c r="F65" i="45" s="1"/>
  <c r="I64" i="39"/>
  <c r="E68" i="31"/>
  <c r="F68" i="31" s="1"/>
  <c r="E68" i="28"/>
  <c r="F68" i="28" s="1"/>
  <c r="E68" i="29"/>
  <c r="F68" i="29" s="1"/>
  <c r="F64" i="42"/>
  <c r="H64" i="42" s="1"/>
  <c r="B64" i="42"/>
  <c r="I145" i="44"/>
  <c r="H145" i="44"/>
  <c r="D148" i="46"/>
  <c r="G147" i="46"/>
  <c r="F147" i="13"/>
  <c r="B147" i="13"/>
  <c r="B146" i="44"/>
  <c r="F146" i="44"/>
  <c r="H146" i="13"/>
  <c r="I146" i="13"/>
  <c r="G66" i="37" l="1"/>
  <c r="D66" i="44"/>
  <c r="H65" i="44"/>
  <c r="G65" i="44"/>
  <c r="D148" i="45"/>
  <c r="G147" i="45"/>
  <c r="G63" i="43"/>
  <c r="H64" i="40"/>
  <c r="I64" i="40" s="1"/>
  <c r="H64" i="41"/>
  <c r="I64" i="41" s="1"/>
  <c r="G69" i="27"/>
  <c r="D70" i="27"/>
  <c r="E70" i="27" s="1"/>
  <c r="H69" i="27"/>
  <c r="H68" i="29"/>
  <c r="G68" i="29"/>
  <c r="D69" i="29"/>
  <c r="E69" i="29" s="1"/>
  <c r="D69" i="28"/>
  <c r="E69" i="28" s="1"/>
  <c r="G68" i="28"/>
  <c r="H68" i="28"/>
  <c r="D66" i="45"/>
  <c r="H65" i="45"/>
  <c r="G65" i="45"/>
  <c r="H68" i="31"/>
  <c r="D69" i="31"/>
  <c r="G68" i="31"/>
  <c r="D65" i="42"/>
  <c r="E65" i="42" s="1"/>
  <c r="H72" i="25"/>
  <c r="G72" i="25"/>
  <c r="G73" i="25" s="1"/>
  <c r="D67" i="37"/>
  <c r="G72" i="22"/>
  <c r="G73" i="22" s="1"/>
  <c r="H72" i="22"/>
  <c r="H65" i="38"/>
  <c r="I65" i="38" s="1"/>
  <c r="D66" i="39"/>
  <c r="E66" i="39" s="1"/>
  <c r="B65" i="46"/>
  <c r="G64" i="42"/>
  <c r="I64" i="42" s="1"/>
  <c r="I66" i="37"/>
  <c r="B66" i="13"/>
  <c r="H65" i="39"/>
  <c r="I65" i="39" s="1"/>
  <c r="D64" i="43"/>
  <c r="E64" i="43" s="1"/>
  <c r="H70" i="24"/>
  <c r="G70" i="24"/>
  <c r="D71" i="24"/>
  <c r="E71" i="24" s="1"/>
  <c r="D65" i="40"/>
  <c r="E65" i="40" s="1"/>
  <c r="D65" i="41"/>
  <c r="E65" i="41" s="1"/>
  <c r="E66" i="13"/>
  <c r="F66" i="13" s="1"/>
  <c r="E65" i="46"/>
  <c r="F65" i="46" s="1"/>
  <c r="D66" i="38"/>
  <c r="E66" i="38" s="1"/>
  <c r="G71" i="23"/>
  <c r="D72" i="23"/>
  <c r="E72" i="23" s="1"/>
  <c r="E73" i="23" s="1"/>
  <c r="H71" i="23"/>
  <c r="H67" i="30"/>
  <c r="D68" i="30"/>
  <c r="G67" i="30"/>
  <c r="I63" i="43"/>
  <c r="D147" i="44"/>
  <c r="E147" i="44" s="1"/>
  <c r="G146" i="44"/>
  <c r="I147" i="46"/>
  <c r="H147" i="46"/>
  <c r="D148" i="13"/>
  <c r="G147" i="13"/>
  <c r="B148" i="46"/>
  <c r="E148" i="46"/>
  <c r="F148" i="46" s="1"/>
  <c r="I65" i="44" l="1"/>
  <c r="E148" i="45"/>
  <c r="F148" i="45" s="1"/>
  <c r="B148" i="45"/>
  <c r="I68" i="28"/>
  <c r="I147" i="45"/>
  <c r="H147" i="45"/>
  <c r="E66" i="44"/>
  <c r="F66" i="44" s="1"/>
  <c r="B66" i="44"/>
  <c r="I71" i="23"/>
  <c r="F70" i="27"/>
  <c r="B70" i="27"/>
  <c r="I69" i="27"/>
  <c r="D66" i="46"/>
  <c r="E66" i="46" s="1"/>
  <c r="H65" i="46"/>
  <c r="G65" i="46"/>
  <c r="D67" i="13"/>
  <c r="H66" i="13"/>
  <c r="G66" i="13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B69" i="29"/>
  <c r="E68" i="30"/>
  <c r="F68" i="30" s="1"/>
  <c r="E67" i="37"/>
  <c r="F67" i="37" s="1"/>
  <c r="B65" i="42"/>
  <c r="F65" i="42"/>
  <c r="H65" i="42" s="1"/>
  <c r="I68" i="31"/>
  <c r="B66" i="45"/>
  <c r="B72" i="23"/>
  <c r="F72" i="23"/>
  <c r="I72" i="25"/>
  <c r="I73" i="25" s="1"/>
  <c r="H73" i="25"/>
  <c r="F66" i="38"/>
  <c r="H66" i="38" s="1"/>
  <c r="B66" i="38"/>
  <c r="B65" i="41"/>
  <c r="F65" i="41"/>
  <c r="G65" i="41" s="1"/>
  <c r="F71" i="24"/>
  <c r="B71" i="24"/>
  <c r="B64" i="43"/>
  <c r="F64" i="43"/>
  <c r="G64" i="43" s="1"/>
  <c r="I72" i="22"/>
  <c r="I73" i="22" s="1"/>
  <c r="H73" i="22"/>
  <c r="E69" i="31"/>
  <c r="F69" i="31" s="1"/>
  <c r="E66" i="45"/>
  <c r="F66" i="45" s="1"/>
  <c r="F69" i="28"/>
  <c r="B69" i="28"/>
  <c r="I68" i="29"/>
  <c r="D149" i="46"/>
  <c r="E149" i="46" s="1"/>
  <c r="G148" i="46"/>
  <c r="I147" i="13"/>
  <c r="H147" i="13"/>
  <c r="B148" i="13"/>
  <c r="I146" i="44"/>
  <c r="H146" i="44"/>
  <c r="B147" i="44"/>
  <c r="F147" i="44"/>
  <c r="E148" i="13"/>
  <c r="F148" i="13" s="1"/>
  <c r="H66" i="44" l="1"/>
  <c r="D67" i="44"/>
  <c r="B67" i="44" s="1"/>
  <c r="G66" i="44"/>
  <c r="I66" i="44" s="1"/>
  <c r="G148" i="45"/>
  <c r="D149" i="45"/>
  <c r="H64" i="43"/>
  <c r="G66" i="38"/>
  <c r="I66" i="38" s="1"/>
  <c r="G70" i="27"/>
  <c r="D71" i="27"/>
  <c r="H70" i="27"/>
  <c r="G69" i="31"/>
  <c r="H69" i="31"/>
  <c r="D70" i="31"/>
  <c r="E70" i="31" s="1"/>
  <c r="H68" i="30"/>
  <c r="G68" i="30"/>
  <c r="D69" i="30"/>
  <c r="D68" i="37"/>
  <c r="E68" i="37" s="1"/>
  <c r="H67" i="37"/>
  <c r="G67" i="37"/>
  <c r="D67" i="45"/>
  <c r="E67" i="45" s="1"/>
  <c r="D70" i="29"/>
  <c r="E70" i="29" s="1"/>
  <c r="G69" i="29"/>
  <c r="H69" i="29"/>
  <c r="I64" i="43"/>
  <c r="D66" i="42"/>
  <c r="E66" i="42" s="1"/>
  <c r="H66" i="39"/>
  <c r="I66" i="39" s="1"/>
  <c r="I66" i="13"/>
  <c r="I65" i="46"/>
  <c r="D66" i="40"/>
  <c r="E66" i="40" s="1"/>
  <c r="D65" i="43"/>
  <c r="E65" i="43" s="1"/>
  <c r="H72" i="23"/>
  <c r="G72" i="23"/>
  <c r="G73" i="23" s="1"/>
  <c r="H66" i="45"/>
  <c r="G65" i="42"/>
  <c r="I65" i="42" s="1"/>
  <c r="G65" i="40"/>
  <c r="I65" i="40" s="1"/>
  <c r="B67" i="13"/>
  <c r="H69" i="28"/>
  <c r="D70" i="28"/>
  <c r="E70" i="28" s="1"/>
  <c r="G69" i="28"/>
  <c r="D66" i="41"/>
  <c r="E66" i="41" s="1"/>
  <c r="D72" i="24"/>
  <c r="E72" i="24" s="1"/>
  <c r="E73" i="24" s="1"/>
  <c r="H71" i="24"/>
  <c r="G71" i="24"/>
  <c r="H65" i="41"/>
  <c r="I65" i="41" s="1"/>
  <c r="D67" i="38"/>
  <c r="G66" i="45"/>
  <c r="D67" i="39"/>
  <c r="E67" i="39" s="1"/>
  <c r="E67" i="13"/>
  <c r="F67" i="13" s="1"/>
  <c r="F66" i="46"/>
  <c r="B66" i="46"/>
  <c r="D149" i="13"/>
  <c r="G148" i="13"/>
  <c r="H148" i="46"/>
  <c r="I148" i="46"/>
  <c r="D148" i="44"/>
  <c r="E148" i="44" s="1"/>
  <c r="G147" i="44"/>
  <c r="B149" i="46"/>
  <c r="F149" i="46"/>
  <c r="E67" i="44" l="1"/>
  <c r="F67" i="44" s="1"/>
  <c r="E149" i="45"/>
  <c r="F149" i="45" s="1"/>
  <c r="B149" i="45"/>
  <c r="G67" i="44"/>
  <c r="H148" i="45"/>
  <c r="I148" i="45"/>
  <c r="I69" i="29"/>
  <c r="E71" i="27"/>
  <c r="B71" i="27"/>
  <c r="F71" i="27"/>
  <c r="I67" i="37"/>
  <c r="I71" i="24"/>
  <c r="I70" i="27"/>
  <c r="D68" i="13"/>
  <c r="E68" i="13" s="1"/>
  <c r="G67" i="13"/>
  <c r="H67" i="13"/>
  <c r="D67" i="46"/>
  <c r="B69" i="30"/>
  <c r="H66" i="46"/>
  <c r="F72" i="24"/>
  <c r="B72" i="24"/>
  <c r="I72" i="23"/>
  <c r="I73" i="23" s="1"/>
  <c r="H73" i="23"/>
  <c r="F66" i="40"/>
  <c r="B66" i="40"/>
  <c r="B70" i="31"/>
  <c r="F70" i="31"/>
  <c r="B67" i="38"/>
  <c r="F70" i="2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F70" i="29"/>
  <c r="E69" i="30"/>
  <c r="F69" i="30" s="1"/>
  <c r="B149" i="13"/>
  <c r="G149" i="46"/>
  <c r="D150" i="46"/>
  <c r="I147" i="44"/>
  <c r="H147" i="44"/>
  <c r="E149" i="13"/>
  <c r="F149" i="13" s="1"/>
  <c r="B148" i="44"/>
  <c r="F148" i="44"/>
  <c r="I148" i="13"/>
  <c r="H148" i="13"/>
  <c r="H67" i="44" l="1"/>
  <c r="I67" i="44" s="1"/>
  <c r="D68" i="44"/>
  <c r="G149" i="45"/>
  <c r="D150" i="45"/>
  <c r="G66" i="42"/>
  <c r="I66" i="42" s="1"/>
  <c r="G71" i="27"/>
  <c r="D72" i="27"/>
  <c r="H71" i="27"/>
  <c r="I67" i="13"/>
  <c r="H69" i="30"/>
  <c r="D70" i="30"/>
  <c r="G69" i="30"/>
  <c r="D68" i="38"/>
  <c r="D67" i="40"/>
  <c r="E67" i="40" s="1"/>
  <c r="G72" i="24"/>
  <c r="G73" i="24" s="1"/>
  <c r="H72" i="24"/>
  <c r="D71" i="29"/>
  <c r="G70" i="29"/>
  <c r="H70" i="29"/>
  <c r="D68" i="39"/>
  <c r="E68" i="39" s="1"/>
  <c r="G66" i="40"/>
  <c r="I66" i="46"/>
  <c r="D67" i="41"/>
  <c r="D68" i="45"/>
  <c r="E68" i="45" s="1"/>
  <c r="D66" i="43"/>
  <c r="G66" i="41"/>
  <c r="H67" i="45"/>
  <c r="G70" i="28"/>
  <c r="D71" i="28"/>
  <c r="E71" i="28" s="1"/>
  <c r="H70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G70" i="31"/>
  <c r="H70" i="31"/>
  <c r="D71" i="31"/>
  <c r="E71" i="31" s="1"/>
  <c r="E67" i="46"/>
  <c r="F67" i="46" s="1"/>
  <c r="F68" i="13"/>
  <c r="H68" i="13" s="1"/>
  <c r="G68" i="13"/>
  <c r="B68" i="13"/>
  <c r="D150" i="13"/>
  <c r="G149" i="13"/>
  <c r="D149" i="44"/>
  <c r="E149" i="44" s="1"/>
  <c r="G148" i="44"/>
  <c r="B150" i="46"/>
  <c r="E150" i="46"/>
  <c r="F150" i="46" s="1"/>
  <c r="I149" i="46"/>
  <c r="H149" i="46"/>
  <c r="E68" i="44" l="1"/>
  <c r="B68" i="44"/>
  <c r="F68" i="44"/>
  <c r="E150" i="45"/>
  <c r="F150" i="45" s="1"/>
  <c r="B150" i="45"/>
  <c r="I149" i="45"/>
  <c r="H149" i="45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8" i="13"/>
  <c r="I67" i="38"/>
  <c r="I67" i="45"/>
  <c r="F68" i="39"/>
  <c r="B68" i="39"/>
  <c r="B71" i="29"/>
  <c r="B69" i="37"/>
  <c r="B71" i="31"/>
  <c r="F71" i="31"/>
  <c r="I70" i="28"/>
  <c r="B68" i="45"/>
  <c r="F68" i="45"/>
  <c r="H68" i="45" s="1"/>
  <c r="E71" i="29"/>
  <c r="F71" i="29" s="1"/>
  <c r="B67" i="40"/>
  <c r="F67" i="40"/>
  <c r="H67" i="40" s="1"/>
  <c r="E70" i="30"/>
  <c r="F70" i="30" s="1"/>
  <c r="B66" i="43"/>
  <c r="B68" i="38"/>
  <c r="D69" i="13"/>
  <c r="E69" i="13" s="1"/>
  <c r="I70" i="31"/>
  <c r="B67" i="42"/>
  <c r="F67" i="42"/>
  <c r="H67" i="42" s="1"/>
  <c r="E69" i="37"/>
  <c r="F69" i="37" s="1"/>
  <c r="B71" i="28"/>
  <c r="F71" i="28"/>
  <c r="E66" i="43"/>
  <c r="F66" i="43" s="1"/>
  <c r="E67" i="41"/>
  <c r="F67" i="41" s="1"/>
  <c r="I70" i="29"/>
  <c r="I72" i="24"/>
  <c r="I73" i="24" s="1"/>
  <c r="H73" i="24"/>
  <c r="E68" i="38"/>
  <c r="F68" i="38" s="1"/>
  <c r="G150" i="46"/>
  <c r="D151" i="46"/>
  <c r="E151" i="46" s="1"/>
  <c r="B150" i="13"/>
  <c r="I148" i="44"/>
  <c r="H148" i="44"/>
  <c r="B149" i="44"/>
  <c r="F149" i="44"/>
  <c r="H149" i="13"/>
  <c r="I149" i="13"/>
  <c r="E150" i="13"/>
  <c r="F150" i="13" s="1"/>
  <c r="H68" i="44" l="1"/>
  <c r="G68" i="44"/>
  <c r="I68" i="44" s="1"/>
  <c r="D69" i="44"/>
  <c r="D151" i="45"/>
  <c r="G150" i="45"/>
  <c r="I67" i="46"/>
  <c r="G68" i="45"/>
  <c r="I68" i="45" s="1"/>
  <c r="F72" i="27"/>
  <c r="G70" i="30"/>
  <c r="H70" i="30"/>
  <c r="D71" i="30"/>
  <c r="E71" i="30" s="1"/>
  <c r="D67" i="43"/>
  <c r="E67" i="43" s="1"/>
  <c r="H66" i="43"/>
  <c r="G66" i="43"/>
  <c r="D72" i="29"/>
  <c r="E72" i="29" s="1"/>
  <c r="E73" i="29" s="1"/>
  <c r="H71" i="29"/>
  <c r="G71" i="29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H71" i="28"/>
  <c r="G71" i="28"/>
  <c r="D72" i="28"/>
  <c r="D68" i="42"/>
  <c r="E68" i="42" s="1"/>
  <c r="G68" i="39"/>
  <c r="G67" i="42"/>
  <c r="I67" i="42" s="1"/>
  <c r="B69" i="13"/>
  <c r="F69" i="13"/>
  <c r="G69" i="13" s="1"/>
  <c r="G67" i="40"/>
  <c r="I67" i="40" s="1"/>
  <c r="D69" i="45"/>
  <c r="G71" i="31"/>
  <c r="D72" i="31"/>
  <c r="E72" i="31" s="1"/>
  <c r="E73" i="31" s="1"/>
  <c r="H71" i="31"/>
  <c r="H68" i="39"/>
  <c r="F68" i="46"/>
  <c r="H68" i="46" s="1"/>
  <c r="B68" i="46"/>
  <c r="G150" i="13"/>
  <c r="D151" i="13"/>
  <c r="I150" i="46"/>
  <c r="H150" i="46"/>
  <c r="D150" i="44"/>
  <c r="G149" i="44"/>
  <c r="B151" i="46"/>
  <c r="F151" i="46"/>
  <c r="I67" i="41" l="1"/>
  <c r="E69" i="44"/>
  <c r="F69" i="44" s="1"/>
  <c r="B69" i="44"/>
  <c r="I150" i="45"/>
  <c r="H150" i="45"/>
  <c r="E151" i="45"/>
  <c r="F151" i="45" s="1"/>
  <c r="B151" i="45"/>
  <c r="I68" i="39"/>
  <c r="I70" i="30"/>
  <c r="I69" i="37"/>
  <c r="H69" i="13"/>
  <c r="I69" i="13" s="1"/>
  <c r="I71" i="28"/>
  <c r="H72" i="27"/>
  <c r="G72" i="27"/>
  <c r="G73" i="27" s="1"/>
  <c r="B69" i="45"/>
  <c r="B69" i="39"/>
  <c r="G68" i="46"/>
  <c r="I68" i="46" s="1"/>
  <c r="I68" i="38"/>
  <c r="I66" i="43"/>
  <c r="F71" i="30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F72" i="31"/>
  <c r="B72" i="31"/>
  <c r="E69" i="45"/>
  <c r="F69" i="45" s="1"/>
  <c r="D70" i="13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H149" i="44"/>
  <c r="I149" i="44"/>
  <c r="B150" i="44"/>
  <c r="B151" i="13"/>
  <c r="H150" i="13"/>
  <c r="I150" i="13"/>
  <c r="D152" i="46"/>
  <c r="G151" i="46"/>
  <c r="E150" i="44"/>
  <c r="F150" i="44" s="1"/>
  <c r="E151" i="13"/>
  <c r="F151" i="13" s="1"/>
  <c r="H69" i="44" l="1"/>
  <c r="D70" i="44"/>
  <c r="G69" i="44"/>
  <c r="I69" i="44" s="1"/>
  <c r="G151" i="45"/>
  <c r="D152" i="45"/>
  <c r="H70" i="37"/>
  <c r="G68" i="40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I70" i="37"/>
  <c r="I68" i="40"/>
  <c r="D70" i="38"/>
  <c r="E70" i="38" s="1"/>
  <c r="D68" i="43"/>
  <c r="E68" i="43" s="1"/>
  <c r="H69" i="38"/>
  <c r="G68" i="41"/>
  <c r="I68" i="41" s="1"/>
  <c r="D71" i="37"/>
  <c r="E71" i="37" s="1"/>
  <c r="B70" i="13"/>
  <c r="H72" i="31"/>
  <c r="G72" i="31"/>
  <c r="G73" i="31" s="1"/>
  <c r="F72" i="28"/>
  <c r="D69" i="40"/>
  <c r="E69" i="40" s="1"/>
  <c r="G72" i="29"/>
  <c r="G73" i="29" s="1"/>
  <c r="H72" i="29"/>
  <c r="G69" i="38"/>
  <c r="E70" i="13"/>
  <c r="F70" i="13" s="1"/>
  <c r="B69" i="46"/>
  <c r="F69" i="46"/>
  <c r="G69" i="46" s="1"/>
  <c r="D69" i="42"/>
  <c r="E69" i="42" s="1"/>
  <c r="H71" i="30"/>
  <c r="G71" i="30"/>
  <c r="D72" i="30"/>
  <c r="E72" i="30" s="1"/>
  <c r="E73" i="30" s="1"/>
  <c r="G150" i="44"/>
  <c r="D151" i="44"/>
  <c r="E151" i="44" s="1"/>
  <c r="D152" i="13"/>
  <c r="G151" i="13"/>
  <c r="I151" i="46"/>
  <c r="H151" i="46"/>
  <c r="B152" i="46"/>
  <c r="E152" i="46"/>
  <c r="F152" i="46" s="1"/>
  <c r="E70" i="44" l="1"/>
  <c r="B70" i="44"/>
  <c r="F70" i="44"/>
  <c r="B152" i="45"/>
  <c r="E152" i="45"/>
  <c r="F152" i="45" s="1"/>
  <c r="H151" i="45"/>
  <c r="I151" i="45"/>
  <c r="I69" i="39"/>
  <c r="H69" i="46"/>
  <c r="I69" i="46" s="1"/>
  <c r="D71" i="13"/>
  <c r="G70" i="13"/>
  <c r="H70" i="13"/>
  <c r="I71" i="30"/>
  <c r="I72" i="31"/>
  <c r="I73" i="31" s="1"/>
  <c r="H73" i="31"/>
  <c r="I69" i="38"/>
  <c r="F70" i="38"/>
  <c r="H70" i="38" s="1"/>
  <c r="G70" i="38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F69" i="42"/>
  <c r="G69" i="42" s="1"/>
  <c r="B69" i="42"/>
  <c r="H72" i="28"/>
  <c r="G72" i="28"/>
  <c r="G73" i="28" s="1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D153" i="46"/>
  <c r="G152" i="46"/>
  <c r="B152" i="13"/>
  <c r="H151" i="13"/>
  <c r="I151" i="13"/>
  <c r="F151" i="44"/>
  <c r="B151" i="44"/>
  <c r="E152" i="13"/>
  <c r="F152" i="13" s="1"/>
  <c r="H150" i="44"/>
  <c r="I150" i="44"/>
  <c r="H70" i="44" l="1"/>
  <c r="D71" i="44"/>
  <c r="G70" i="44"/>
  <c r="I70" i="44" s="1"/>
  <c r="G152" i="45"/>
  <c r="D153" i="45"/>
  <c r="I70" i="13"/>
  <c r="H70" i="39"/>
  <c r="I70" i="39" s="1"/>
  <c r="I70" i="38"/>
  <c r="H68" i="43"/>
  <c r="I68" i="43" s="1"/>
  <c r="H71" i="37"/>
  <c r="D71" i="45"/>
  <c r="E71" i="45" s="1"/>
  <c r="H72" i="30"/>
  <c r="G72" i="30"/>
  <c r="G73" i="30" s="1"/>
  <c r="I72" i="28"/>
  <c r="I73" i="28" s="1"/>
  <c r="H73" i="28"/>
  <c r="D70" i="40"/>
  <c r="E70" i="40" s="1"/>
  <c r="D70" i="41"/>
  <c r="E70" i="41" s="1"/>
  <c r="I71" i="37"/>
  <c r="G69" i="40"/>
  <c r="B70" i="46"/>
  <c r="F70" i="46"/>
  <c r="H70" i="46" s="1"/>
  <c r="G69" i="41"/>
  <c r="B71" i="13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E71" i="13"/>
  <c r="F71" i="13" s="1"/>
  <c r="D153" i="13"/>
  <c r="E153" i="13" s="1"/>
  <c r="G152" i="13"/>
  <c r="D152" i="44"/>
  <c r="E152" i="44" s="1"/>
  <c r="G151" i="44"/>
  <c r="H152" i="46"/>
  <c r="I152" i="46"/>
  <c r="B153" i="46"/>
  <c r="E153" i="46"/>
  <c r="F153" i="46" s="1"/>
  <c r="E71" i="44" l="1"/>
  <c r="F71" i="44" s="1"/>
  <c r="B71" i="44"/>
  <c r="E153" i="45"/>
  <c r="F153" i="45" s="1"/>
  <c r="B153" i="45"/>
  <c r="I152" i="45"/>
  <c r="H152" i="45"/>
  <c r="I69" i="41"/>
  <c r="I69" i="40"/>
  <c r="G70" i="46"/>
  <c r="I70" i="46" s="1"/>
  <c r="D72" i="13"/>
  <c r="G71" i="13"/>
  <c r="H71" i="13"/>
  <c r="F71" i="39"/>
  <c r="G71" i="39" s="1"/>
  <c r="B71" i="39"/>
  <c r="F70" i="41"/>
  <c r="H70" i="41" s="1"/>
  <c r="G70" i="4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D154" i="46"/>
  <c r="E154" i="46" s="1"/>
  <c r="E155" i="46" s="1"/>
  <c r="G153" i="46"/>
  <c r="I152" i="13"/>
  <c r="H152" i="13"/>
  <c r="H151" i="44"/>
  <c r="I151" i="44"/>
  <c r="B152" i="44"/>
  <c r="F152" i="44"/>
  <c r="B153" i="13"/>
  <c r="F153" i="13"/>
  <c r="H71" i="44" l="1"/>
  <c r="D72" i="44"/>
  <c r="G71" i="44"/>
  <c r="I71" i="44" s="1"/>
  <c r="G153" i="45"/>
  <c r="D154" i="45"/>
  <c r="H71" i="39"/>
  <c r="I70" i="41"/>
  <c r="I71" i="13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I71" i="39"/>
  <c r="B72" i="13"/>
  <c r="D71" i="40"/>
  <c r="G71" i="38"/>
  <c r="I71" i="38" s="1"/>
  <c r="H70" i="42"/>
  <c r="I70" i="42" s="1"/>
  <c r="D71" i="41"/>
  <c r="D72" i="39"/>
  <c r="E72" i="39" s="1"/>
  <c r="E73" i="39" s="1"/>
  <c r="E72" i="13"/>
  <c r="E73" i="13" s="1"/>
  <c r="D154" i="13"/>
  <c r="E154" i="13" s="1"/>
  <c r="E155" i="13" s="1"/>
  <c r="G153" i="13"/>
  <c r="H153" i="46"/>
  <c r="I153" i="46"/>
  <c r="D153" i="44"/>
  <c r="E153" i="44" s="1"/>
  <c r="G152" i="44"/>
  <c r="B154" i="46"/>
  <c r="F154" i="46"/>
  <c r="G154" i="46" s="1"/>
  <c r="E72" i="44" l="1"/>
  <c r="E73" i="44" s="1"/>
  <c r="B72" i="44"/>
  <c r="F72" i="44"/>
  <c r="E154" i="45"/>
  <c r="E155" i="45" s="1"/>
  <c r="B154" i="45"/>
  <c r="I153" i="45"/>
  <c r="H153" i="45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13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H154" i="46"/>
  <c r="H155" i="46" s="1"/>
  <c r="I154" i="46"/>
  <c r="I155" i="46" s="1"/>
  <c r="I152" i="44"/>
  <c r="H152" i="44"/>
  <c r="I153" i="13"/>
  <c r="H153" i="13"/>
  <c r="F154" i="13"/>
  <c r="G154" i="13" s="1"/>
  <c r="B154" i="13"/>
  <c r="B153" i="44"/>
  <c r="F153" i="44"/>
  <c r="F154" i="45" l="1"/>
  <c r="G154" i="45" s="1"/>
  <c r="G72" i="44"/>
  <c r="G73" i="44" s="1"/>
  <c r="H72" i="44"/>
  <c r="H154" i="45"/>
  <c r="H155" i="45" s="1"/>
  <c r="I154" i="45"/>
  <c r="I155" i="45" s="1"/>
  <c r="G72" i="45"/>
  <c r="G73" i="45" s="1"/>
  <c r="H71" i="42"/>
  <c r="G70" i="43"/>
  <c r="H72" i="39"/>
  <c r="I72" i="39" s="1"/>
  <c r="I73" i="39" s="1"/>
  <c r="I70" i="43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I72" i="45"/>
  <c r="I73" i="45" s="1"/>
  <c r="H73" i="45"/>
  <c r="I72" i="37"/>
  <c r="I73" i="37" s="1"/>
  <c r="H73" i="37"/>
  <c r="I71" i="42"/>
  <c r="H72" i="13"/>
  <c r="G72" i="13"/>
  <c r="G73" i="13" s="1"/>
  <c r="B72" i="46"/>
  <c r="E72" i="46"/>
  <c r="E73" i="46" s="1"/>
  <c r="D154" i="44"/>
  <c r="E154" i="44" s="1"/>
  <c r="E155" i="44" s="1"/>
  <c r="G153" i="44"/>
  <c r="H154" i="13"/>
  <c r="H155" i="13" s="1"/>
  <c r="I154" i="13"/>
  <c r="I155" i="13" s="1"/>
  <c r="H73" i="39" l="1"/>
  <c r="I72" i="44"/>
  <c r="I73" i="44" s="1"/>
  <c r="H73" i="44"/>
  <c r="F72" i="46"/>
  <c r="G72" i="46" s="1"/>
  <c r="G73" i="46" s="1"/>
  <c r="I71" i="40"/>
  <c r="F71" i="43"/>
  <c r="H71" i="43" s="1"/>
  <c r="B71" i="43"/>
  <c r="I71" i="41"/>
  <c r="I72" i="13"/>
  <c r="I73" i="13" s="1"/>
  <c r="H73" i="13"/>
  <c r="H72" i="46"/>
  <c r="F72" i="42"/>
  <c r="H72" i="42" s="1"/>
  <c r="B72" i="42"/>
  <c r="I72" i="38"/>
  <c r="I73" i="38" s="1"/>
  <c r="B72" i="41"/>
  <c r="F72" i="41"/>
  <c r="H72" i="41" s="1"/>
  <c r="B72" i="40"/>
  <c r="F72" i="40"/>
  <c r="H72" i="40" s="1"/>
  <c r="H153" i="44"/>
  <c r="I153" i="44"/>
  <c r="F154" i="44"/>
  <c r="G154" i="44" s="1"/>
  <c r="B154" i="44"/>
  <c r="G71" i="43" l="1"/>
  <c r="G72" i="40"/>
  <c r="G73" i="40" s="1"/>
  <c r="G72" i="41"/>
  <c r="G73" i="41" s="1"/>
  <c r="G72" i="42"/>
  <c r="G73" i="42" s="1"/>
  <c r="I71" i="43"/>
  <c r="H73" i="42"/>
  <c r="I72" i="41"/>
  <c r="I73" i="41" s="1"/>
  <c r="H73" i="41"/>
  <c r="H73" i="40"/>
  <c r="I72" i="46"/>
  <c r="I73" i="46" s="1"/>
  <c r="H73" i="46"/>
  <c r="D72" i="43"/>
  <c r="E72" i="43" s="1"/>
  <c r="E73" i="43" s="1"/>
  <c r="H154" i="44"/>
  <c r="H155" i="44" s="1"/>
  <c r="I154" i="44"/>
  <c r="I155" i="44" s="1"/>
  <c r="I72" i="40" l="1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H72" i="43" l="1"/>
  <c r="I72" i="43" s="1"/>
  <c r="I73" i="43" s="1"/>
  <c r="H73" i="43"/>
  <c r="D95" i="44"/>
  <c r="D95" i="13"/>
  <c r="D95" i="38"/>
  <c r="J96" i="38" s="1"/>
  <c r="D95" i="45"/>
  <c r="D95" i="46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E100" i="42" l="1"/>
  <c r="F100" i="42" s="1"/>
  <c r="E100" i="41"/>
  <c r="F100" i="41" s="1"/>
  <c r="E100" i="38"/>
  <c r="F100" i="38" s="1"/>
  <c r="E109" i="8"/>
  <c r="E100" i="43"/>
  <c r="E107" i="22"/>
  <c r="E111" i="7"/>
  <c r="E110" i="11"/>
  <c r="E100" i="39"/>
  <c r="E103" i="31"/>
  <c r="E103" i="28"/>
  <c r="E103" i="29"/>
  <c r="E110" i="9"/>
  <c r="E100" i="37"/>
  <c r="E108" i="4"/>
  <c r="E108" i="3"/>
  <c r="E99" i="40"/>
  <c r="E109" i="6"/>
  <c r="E106" i="23"/>
  <c r="E102" i="30"/>
  <c r="E108" i="5"/>
  <c r="E104" i="27"/>
  <c r="E111" i="10"/>
  <c r="E105" i="24"/>
  <c r="E107" i="25"/>
  <c r="D101" i="38" l="1"/>
  <c r="G100" i="38"/>
  <c r="G100" i="41"/>
  <c r="D101" i="41"/>
  <c r="D101" i="42"/>
  <c r="G100" i="42"/>
  <c r="F108" i="4"/>
  <c r="F107" i="25"/>
  <c r="F105" i="24"/>
  <c r="F102" i="30"/>
  <c r="F99" i="40"/>
  <c r="F108" i="3"/>
  <c r="F108" i="5"/>
  <c r="F106" i="23"/>
  <c r="F110" i="9"/>
  <c r="F110" i="11"/>
  <c r="F109" i="8"/>
  <c r="F111" i="10"/>
  <c r="F104" i="27"/>
  <c r="F109" i="6"/>
  <c r="F100" i="37"/>
  <c r="F103" i="29"/>
  <c r="F103" i="28"/>
  <c r="F103" i="31"/>
  <c r="F100" i="39"/>
  <c r="F111" i="7"/>
  <c r="F107" i="22"/>
  <c r="F100" i="43"/>
  <c r="I100" i="41" l="1"/>
  <c r="H100" i="41"/>
  <c r="I100" i="42"/>
  <c r="H100" i="42"/>
  <c r="H100" i="38"/>
  <c r="I100" i="38"/>
  <c r="J100" i="38" s="1"/>
  <c r="E101" i="41"/>
  <c r="F101" i="41" s="1"/>
  <c r="B101" i="41"/>
  <c r="E101" i="42"/>
  <c r="F101" i="42"/>
  <c r="B101" i="42"/>
  <c r="E101" i="38"/>
  <c r="F101" i="38" s="1"/>
  <c r="B101" i="38"/>
  <c r="G100" i="43"/>
  <c r="D101" i="43"/>
  <c r="E101" i="43"/>
  <c r="G111" i="7"/>
  <c r="D112" i="7"/>
  <c r="E112" i="7"/>
  <c r="G103" i="31"/>
  <c r="D104" i="31"/>
  <c r="E104" i="31"/>
  <c r="G103" i="29"/>
  <c r="D104" i="29"/>
  <c r="E104" i="29"/>
  <c r="G109" i="6"/>
  <c r="D110" i="6"/>
  <c r="E110" i="6"/>
  <c r="G111" i="10"/>
  <c r="D112" i="10"/>
  <c r="E112" i="10"/>
  <c r="G106" i="23"/>
  <c r="D107" i="23"/>
  <c r="E107" i="23"/>
  <c r="G108" i="3"/>
  <c r="D109" i="3"/>
  <c r="E109" i="3"/>
  <c r="G102" i="30"/>
  <c r="D103" i="30"/>
  <c r="E103" i="30"/>
  <c r="G107" i="25"/>
  <c r="D108" i="25"/>
  <c r="E108" i="25"/>
  <c r="G110" i="11"/>
  <c r="D111" i="11"/>
  <c r="E111" i="11"/>
  <c r="G107" i="22"/>
  <c r="D108" i="22"/>
  <c r="E108" i="22"/>
  <c r="G100" i="39"/>
  <c r="D101" i="39"/>
  <c r="E101" i="39"/>
  <c r="G103" i="28"/>
  <c r="D104" i="28"/>
  <c r="E104" i="28"/>
  <c r="G100" i="37"/>
  <c r="D101" i="37"/>
  <c r="E101" i="37"/>
  <c r="G104" i="27"/>
  <c r="D105" i="27"/>
  <c r="E105" i="27"/>
  <c r="G109" i="8"/>
  <c r="D110" i="8"/>
  <c r="E110" i="8"/>
  <c r="G110" i="9"/>
  <c r="D111" i="9"/>
  <c r="E111" i="9"/>
  <c r="D109" i="5"/>
  <c r="G108" i="5"/>
  <c r="E109" i="5"/>
  <c r="G99" i="40"/>
  <c r="D100" i="40"/>
  <c r="E100" i="40"/>
  <c r="G105" i="24"/>
  <c r="D106" i="24"/>
  <c r="E106" i="24"/>
  <c r="G108" i="4"/>
  <c r="D109" i="4"/>
  <c r="E109" i="4"/>
  <c r="D102" i="41" l="1"/>
  <c r="G101" i="41"/>
  <c r="D102" i="42"/>
  <c r="G101" i="42"/>
  <c r="J100" i="42"/>
  <c r="G101" i="38"/>
  <c r="D102" i="38"/>
  <c r="J100" i="41"/>
  <c r="B106" i="24"/>
  <c r="F106" i="24"/>
  <c r="H99" i="40"/>
  <c r="I99" i="40"/>
  <c r="I108" i="4"/>
  <c r="H108" i="4"/>
  <c r="H108" i="5"/>
  <c r="I108" i="5"/>
  <c r="I110" i="9"/>
  <c r="H110" i="9"/>
  <c r="B101" i="37"/>
  <c r="F101" i="37"/>
  <c r="H103" i="28"/>
  <c r="I103" i="28"/>
  <c r="B111" i="11"/>
  <c r="F111" i="11"/>
  <c r="I107" i="25"/>
  <c r="H107" i="25"/>
  <c r="B107" i="23"/>
  <c r="F107" i="23"/>
  <c r="H111" i="10"/>
  <c r="I111" i="10"/>
  <c r="B104" i="31"/>
  <c r="F104" i="31"/>
  <c r="I111" i="7"/>
  <c r="H111" i="7"/>
  <c r="B100" i="40"/>
  <c r="F100" i="40"/>
  <c r="B109" i="5"/>
  <c r="F109" i="5"/>
  <c r="B105" i="27"/>
  <c r="F105" i="27"/>
  <c r="H100" i="37"/>
  <c r="I100" i="37"/>
  <c r="B108" i="22"/>
  <c r="F108" i="22"/>
  <c r="H110" i="11"/>
  <c r="I110" i="11"/>
  <c r="B109" i="3"/>
  <c r="F109" i="3"/>
  <c r="I106" i="23"/>
  <c r="H106" i="23"/>
  <c r="B104" i="29"/>
  <c r="F104" i="29"/>
  <c r="I103" i="31"/>
  <c r="H103" i="31"/>
  <c r="B110" i="8"/>
  <c r="F110" i="8"/>
  <c r="I104" i="27"/>
  <c r="H104" i="27"/>
  <c r="B101" i="39"/>
  <c r="F101" i="39"/>
  <c r="H107" i="22"/>
  <c r="I107" i="22"/>
  <c r="B103" i="30"/>
  <c r="F103" i="30"/>
  <c r="H108" i="3"/>
  <c r="I108" i="3"/>
  <c r="B110" i="6"/>
  <c r="F110" i="6"/>
  <c r="I103" i="29"/>
  <c r="H103" i="29"/>
  <c r="B101" i="43"/>
  <c r="F101" i="43"/>
  <c r="B109" i="4"/>
  <c r="F109" i="4"/>
  <c r="H105" i="24"/>
  <c r="I105" i="24"/>
  <c r="B111" i="9"/>
  <c r="F111" i="9"/>
  <c r="H109" i="8"/>
  <c r="I109" i="8"/>
  <c r="B104" i="28"/>
  <c r="F104" i="28"/>
  <c r="H100" i="39"/>
  <c r="I100" i="39"/>
  <c r="B108" i="25"/>
  <c r="F108" i="25"/>
  <c r="H102" i="30"/>
  <c r="I102" i="30"/>
  <c r="B112" i="10"/>
  <c r="F112" i="10"/>
  <c r="H109" i="6"/>
  <c r="I109" i="6"/>
  <c r="B112" i="7"/>
  <c r="F112" i="7"/>
  <c r="I100" i="43"/>
  <c r="H100" i="43"/>
  <c r="E102" i="38" l="1"/>
  <c r="F102" i="38" s="1"/>
  <c r="B102" i="38"/>
  <c r="E102" i="42"/>
  <c r="F102" i="42" s="1"/>
  <c r="B102" i="42"/>
  <c r="H101" i="38"/>
  <c r="I101" i="38"/>
  <c r="H101" i="41"/>
  <c r="I101" i="41"/>
  <c r="H101" i="42"/>
  <c r="I101" i="42"/>
  <c r="E102" i="41"/>
  <c r="F102" i="41" s="1"/>
  <c r="B102" i="41"/>
  <c r="J100" i="43"/>
  <c r="G112" i="7"/>
  <c r="D113" i="7"/>
  <c r="E113" i="7"/>
  <c r="N88" i="30"/>
  <c r="J102" i="30"/>
  <c r="G111" i="9"/>
  <c r="D112" i="9"/>
  <c r="E112" i="9"/>
  <c r="M88" i="24"/>
  <c r="M89" i="24" s="1"/>
  <c r="G101" i="43"/>
  <c r="D102" i="43"/>
  <c r="E102" i="43"/>
  <c r="N88" i="29"/>
  <c r="J103" i="29"/>
  <c r="N88" i="3"/>
  <c r="J108" i="3"/>
  <c r="G110" i="8"/>
  <c r="D111" i="8"/>
  <c r="E111" i="8"/>
  <c r="G109" i="3"/>
  <c r="D110" i="3"/>
  <c r="E110" i="3"/>
  <c r="M88" i="11"/>
  <c r="M89" i="11" s="1"/>
  <c r="N88" i="37"/>
  <c r="J100" i="37"/>
  <c r="G107" i="23"/>
  <c r="D108" i="23"/>
  <c r="E108" i="23"/>
  <c r="N88" i="25"/>
  <c r="J107" i="25"/>
  <c r="N88" i="28"/>
  <c r="J103" i="28"/>
  <c r="M88" i="5"/>
  <c r="M89" i="5" s="1"/>
  <c r="N88" i="40"/>
  <c r="J99" i="40"/>
  <c r="M88" i="6"/>
  <c r="M89" i="6" s="1"/>
  <c r="G112" i="10"/>
  <c r="D113" i="10"/>
  <c r="E113" i="10"/>
  <c r="M88" i="30"/>
  <c r="M89" i="30" s="1"/>
  <c r="N88" i="39"/>
  <c r="J100" i="39"/>
  <c r="G109" i="4"/>
  <c r="D110" i="4"/>
  <c r="E110" i="4"/>
  <c r="G110" i="6"/>
  <c r="D111" i="6"/>
  <c r="E111" i="6"/>
  <c r="M88" i="3"/>
  <c r="N88" i="22"/>
  <c r="J107" i="22"/>
  <c r="M88" i="31"/>
  <c r="M89" i="31" s="1"/>
  <c r="G108" i="22"/>
  <c r="D109" i="22"/>
  <c r="E109" i="22"/>
  <c r="M88" i="37"/>
  <c r="M89" i="37" s="1"/>
  <c r="G109" i="5"/>
  <c r="D110" i="5"/>
  <c r="E110" i="5"/>
  <c r="M88" i="7"/>
  <c r="M89" i="7" s="1"/>
  <c r="G111" i="11"/>
  <c r="D112" i="11"/>
  <c r="E112" i="11"/>
  <c r="M88" i="28"/>
  <c r="M89" i="28" s="1"/>
  <c r="M88" i="9"/>
  <c r="M89" i="9" s="1"/>
  <c r="M88" i="40"/>
  <c r="M89" i="40" s="1"/>
  <c r="G108" i="25"/>
  <c r="D109" i="25"/>
  <c r="E109" i="25"/>
  <c r="M88" i="39"/>
  <c r="M89" i="39" s="1"/>
  <c r="N88" i="8"/>
  <c r="J109" i="8"/>
  <c r="G103" i="30"/>
  <c r="D104" i="30"/>
  <c r="E104" i="30"/>
  <c r="M88" i="22"/>
  <c r="M89" i="22" s="1"/>
  <c r="M88" i="27"/>
  <c r="M89" i="27" s="1"/>
  <c r="N88" i="31"/>
  <c r="J103" i="31"/>
  <c r="M88" i="23"/>
  <c r="M89" i="23" s="1"/>
  <c r="G105" i="27"/>
  <c r="D106" i="27"/>
  <c r="E106" i="27"/>
  <c r="N88" i="7"/>
  <c r="J111" i="7"/>
  <c r="N88" i="10"/>
  <c r="J111" i="10"/>
  <c r="G101" i="37"/>
  <c r="D102" i="37"/>
  <c r="E102" i="37"/>
  <c r="N88" i="9"/>
  <c r="J110" i="9"/>
  <c r="M88" i="4"/>
  <c r="M89" i="4" s="1"/>
  <c r="G106" i="24"/>
  <c r="D107" i="24"/>
  <c r="E107" i="24"/>
  <c r="N88" i="6"/>
  <c r="J109" i="6"/>
  <c r="G104" i="28"/>
  <c r="D105" i="28"/>
  <c r="E105" i="28"/>
  <c r="M88" i="8"/>
  <c r="M89" i="8" s="1"/>
  <c r="N88" i="24"/>
  <c r="J105" i="24"/>
  <c r="M88" i="29"/>
  <c r="M89" i="29" s="1"/>
  <c r="G101" i="39"/>
  <c r="D102" i="39"/>
  <c r="E102" i="39"/>
  <c r="N88" i="27"/>
  <c r="J104" i="27"/>
  <c r="G104" i="29"/>
  <c r="D105" i="29"/>
  <c r="E105" i="29"/>
  <c r="N88" i="23"/>
  <c r="J106" i="23"/>
  <c r="N88" i="11"/>
  <c r="J110" i="11"/>
  <c r="G100" i="40"/>
  <c r="D101" i="40"/>
  <c r="E101" i="40"/>
  <c r="G104" i="31"/>
  <c r="D105" i="31"/>
  <c r="E105" i="31"/>
  <c r="M88" i="10"/>
  <c r="M89" i="10" s="1"/>
  <c r="M88" i="25"/>
  <c r="M89" i="25" s="1"/>
  <c r="N88" i="5"/>
  <c r="J108" i="5"/>
  <c r="N88" i="4"/>
  <c r="J108" i="4"/>
  <c r="I27" i="17"/>
  <c r="I21" i="17"/>
  <c r="I38" i="17"/>
  <c r="I23" i="17"/>
  <c r="I26" i="17"/>
  <c r="I34" i="17"/>
  <c r="I19" i="17"/>
  <c r="I33" i="17"/>
  <c r="I24" i="17"/>
  <c r="I25" i="17"/>
  <c r="I31" i="17"/>
  <c r="I32" i="17"/>
  <c r="I39" i="17"/>
  <c r="I22" i="17"/>
  <c r="I20" i="17"/>
  <c r="I36" i="17"/>
  <c r="I35" i="17"/>
  <c r="I30" i="17"/>
  <c r="I28" i="17"/>
  <c r="I29" i="17"/>
  <c r="J101" i="42" l="1"/>
  <c r="J101" i="38"/>
  <c r="G102" i="41"/>
  <c r="D103" i="41"/>
  <c r="E103" i="41"/>
  <c r="G102" i="42"/>
  <c r="D103" i="42"/>
  <c r="B103" i="42" s="1"/>
  <c r="E103" i="42"/>
  <c r="J101" i="41"/>
  <c r="D103" i="38"/>
  <c r="G102" i="38"/>
  <c r="N89" i="4"/>
  <c r="O88" i="4"/>
  <c r="O89" i="4" s="1"/>
  <c r="O88" i="11"/>
  <c r="O89" i="11" s="1"/>
  <c r="N89" i="11"/>
  <c r="B107" i="24"/>
  <c r="F107" i="24"/>
  <c r="B101" i="40"/>
  <c r="F101" i="40"/>
  <c r="O88" i="27"/>
  <c r="O89" i="27" s="1"/>
  <c r="N89" i="27"/>
  <c r="I101" i="39"/>
  <c r="H101" i="39"/>
  <c r="N89" i="6"/>
  <c r="O88" i="6"/>
  <c r="O89" i="6" s="1"/>
  <c r="I106" i="24"/>
  <c r="H106" i="24"/>
  <c r="H101" i="37"/>
  <c r="I101" i="37"/>
  <c r="B106" i="27"/>
  <c r="F106" i="27"/>
  <c r="B104" i="30"/>
  <c r="F104" i="30"/>
  <c r="B109" i="25"/>
  <c r="F109" i="25"/>
  <c r="I109" i="5"/>
  <c r="H109" i="5"/>
  <c r="B109" i="22"/>
  <c r="F109" i="22"/>
  <c r="M89" i="3"/>
  <c r="N18" i="2"/>
  <c r="N89" i="39"/>
  <c r="O88" i="39"/>
  <c r="O89" i="39" s="1"/>
  <c r="N89" i="28"/>
  <c r="O88" i="28"/>
  <c r="O89" i="28" s="1"/>
  <c r="O88" i="37"/>
  <c r="O89" i="37" s="1"/>
  <c r="N89" i="37"/>
  <c r="B111" i="8"/>
  <c r="F111" i="8"/>
  <c r="B113" i="7"/>
  <c r="F113" i="7"/>
  <c r="B105" i="31"/>
  <c r="F105" i="31"/>
  <c r="H100" i="40"/>
  <c r="I100" i="40"/>
  <c r="B105" i="29"/>
  <c r="F105" i="29"/>
  <c r="N89" i="24"/>
  <c r="O88" i="24"/>
  <c r="O89" i="24" s="1"/>
  <c r="B105" i="28"/>
  <c r="F105" i="28"/>
  <c r="N89" i="9"/>
  <c r="O88" i="9"/>
  <c r="O89" i="9" s="1"/>
  <c r="H105" i="27"/>
  <c r="I105" i="27"/>
  <c r="H103" i="30"/>
  <c r="I103" i="30"/>
  <c r="I108" i="25"/>
  <c r="H108" i="25"/>
  <c r="I108" i="22"/>
  <c r="H108" i="22"/>
  <c r="B110" i="4"/>
  <c r="F110" i="4"/>
  <c r="B113" i="10"/>
  <c r="F113" i="10"/>
  <c r="B108" i="23"/>
  <c r="F108" i="23"/>
  <c r="B110" i="3"/>
  <c r="F110" i="3"/>
  <c r="I110" i="8"/>
  <c r="H110" i="8"/>
  <c r="B102" i="43"/>
  <c r="F102" i="43"/>
  <c r="H112" i="7"/>
  <c r="I112" i="7"/>
  <c r="N89" i="5"/>
  <c r="O88" i="5"/>
  <c r="O89" i="5" s="1"/>
  <c r="I104" i="31"/>
  <c r="H104" i="31"/>
  <c r="I104" i="29"/>
  <c r="H104" i="29"/>
  <c r="I104" i="28"/>
  <c r="H104" i="28"/>
  <c r="O88" i="10"/>
  <c r="O89" i="10" s="1"/>
  <c r="N89" i="10"/>
  <c r="O88" i="7"/>
  <c r="O89" i="7" s="1"/>
  <c r="N89" i="7"/>
  <c r="N89" i="31"/>
  <c r="O88" i="31"/>
  <c r="O89" i="31" s="1"/>
  <c r="B112" i="11"/>
  <c r="F112" i="11"/>
  <c r="N89" i="22"/>
  <c r="O88" i="22"/>
  <c r="O89" i="22" s="1"/>
  <c r="B111" i="6"/>
  <c r="F111" i="6"/>
  <c r="I109" i="4"/>
  <c r="H109" i="4"/>
  <c r="H112" i="10"/>
  <c r="I112" i="10"/>
  <c r="O88" i="40"/>
  <c r="O89" i="40" s="1"/>
  <c r="N89" i="40"/>
  <c r="H107" i="23"/>
  <c r="I107" i="23"/>
  <c r="H109" i="3"/>
  <c r="I109" i="3"/>
  <c r="H101" i="43"/>
  <c r="I101" i="43"/>
  <c r="B112" i="9"/>
  <c r="F112" i="9"/>
  <c r="N89" i="30"/>
  <c r="O88" i="30"/>
  <c r="O89" i="30" s="1"/>
  <c r="N89" i="23"/>
  <c r="O88" i="23"/>
  <c r="O89" i="23" s="1"/>
  <c r="B102" i="39"/>
  <c r="F102" i="39"/>
  <c r="B102" i="37"/>
  <c r="F102" i="37"/>
  <c r="O88" i="8"/>
  <c r="O89" i="8" s="1"/>
  <c r="N89" i="8"/>
  <c r="H111" i="11"/>
  <c r="I111" i="11"/>
  <c r="B110" i="5"/>
  <c r="F110" i="5"/>
  <c r="I110" i="6"/>
  <c r="H110" i="6"/>
  <c r="N89" i="25"/>
  <c r="O88" i="25"/>
  <c r="O89" i="25" s="1"/>
  <c r="N89" i="3"/>
  <c r="O88" i="3"/>
  <c r="O89" i="3" s="1"/>
  <c r="O18" i="2"/>
  <c r="N89" i="29"/>
  <c r="O88" i="29"/>
  <c r="O89" i="29" s="1"/>
  <c r="I111" i="9"/>
  <c r="H111" i="9"/>
  <c r="I18" i="17"/>
  <c r="F103" i="42" l="1"/>
  <c r="D104" i="42" s="1"/>
  <c r="H102" i="42"/>
  <c r="I102" i="42"/>
  <c r="E103" i="38"/>
  <c r="F103" i="38" s="1"/>
  <c r="B103" i="38"/>
  <c r="G103" i="42"/>
  <c r="B103" i="41"/>
  <c r="F103" i="41"/>
  <c r="H102" i="38"/>
  <c r="I102" i="38"/>
  <c r="I102" i="41"/>
  <c r="H102" i="41"/>
  <c r="J111" i="9"/>
  <c r="J101" i="43"/>
  <c r="G110" i="5"/>
  <c r="D111" i="5"/>
  <c r="E111" i="5"/>
  <c r="G112" i="9"/>
  <c r="D113" i="9"/>
  <c r="E113" i="9"/>
  <c r="J112" i="10"/>
  <c r="G111" i="6"/>
  <c r="D112" i="6"/>
  <c r="E112" i="6"/>
  <c r="J104" i="29"/>
  <c r="J109" i="5"/>
  <c r="J106" i="24"/>
  <c r="G107" i="24"/>
  <c r="D108" i="24"/>
  <c r="E108" i="24"/>
  <c r="P18" i="2"/>
  <c r="P19" i="2" s="1"/>
  <c r="P20" i="2" s="1"/>
  <c r="O19" i="2"/>
  <c r="O20" i="2" s="1"/>
  <c r="R135" i="2"/>
  <c r="G102" i="37"/>
  <c r="D103" i="37"/>
  <c r="E103" i="37"/>
  <c r="G102" i="39"/>
  <c r="D103" i="39"/>
  <c r="E103" i="39"/>
  <c r="J109" i="3"/>
  <c r="G112" i="11"/>
  <c r="D113" i="11"/>
  <c r="E113" i="11"/>
  <c r="J104" i="28"/>
  <c r="G108" i="23"/>
  <c r="D109" i="23"/>
  <c r="E109" i="23"/>
  <c r="G113" i="10"/>
  <c r="D114" i="10"/>
  <c r="E114" i="10"/>
  <c r="J105" i="27"/>
  <c r="J100" i="40"/>
  <c r="G109" i="22"/>
  <c r="D110" i="22"/>
  <c r="E110" i="22"/>
  <c r="G109" i="25"/>
  <c r="D110" i="25"/>
  <c r="E110" i="25"/>
  <c r="J101" i="37"/>
  <c r="J101" i="39"/>
  <c r="G101" i="40"/>
  <c r="D102" i="40"/>
  <c r="E102" i="40"/>
  <c r="J110" i="6"/>
  <c r="J111" i="11"/>
  <c r="G102" i="43"/>
  <c r="D103" i="43"/>
  <c r="E103" i="43"/>
  <c r="J110" i="8"/>
  <c r="J108" i="25"/>
  <c r="G105" i="28"/>
  <c r="D106" i="28"/>
  <c r="E106" i="28"/>
  <c r="G105" i="29"/>
  <c r="D106" i="29"/>
  <c r="E106" i="29"/>
  <c r="G113" i="7"/>
  <c r="D114" i="7"/>
  <c r="E114" i="7"/>
  <c r="G111" i="8"/>
  <c r="D112" i="8"/>
  <c r="E112" i="8"/>
  <c r="N19" i="2"/>
  <c r="N20" i="2" s="1"/>
  <c r="R134" i="2"/>
  <c r="G106" i="27"/>
  <c r="D107" i="27"/>
  <c r="E107" i="27"/>
  <c r="J107" i="23"/>
  <c r="J109" i="4"/>
  <c r="J104" i="31"/>
  <c r="J112" i="7"/>
  <c r="G110" i="3"/>
  <c r="D111" i="3"/>
  <c r="E111" i="3"/>
  <c r="G110" i="4"/>
  <c r="D111" i="4"/>
  <c r="E111" i="4"/>
  <c r="J108" i="22"/>
  <c r="J103" i="30"/>
  <c r="G105" i="31"/>
  <c r="D106" i="31"/>
  <c r="E106" i="31"/>
  <c r="G104" i="30"/>
  <c r="D105" i="30"/>
  <c r="E105" i="30"/>
  <c r="J102" i="38" l="1"/>
  <c r="J102" i="41"/>
  <c r="J102" i="42"/>
  <c r="G103" i="38"/>
  <c r="D104" i="38"/>
  <c r="E104" i="42"/>
  <c r="F104" i="42" s="1"/>
  <c r="B104" i="42"/>
  <c r="H103" i="42"/>
  <c r="I103" i="42"/>
  <c r="G103" i="41"/>
  <c r="D104" i="41"/>
  <c r="H105" i="31"/>
  <c r="I105" i="31"/>
  <c r="B106" i="28"/>
  <c r="F106" i="28"/>
  <c r="H101" i="40"/>
  <c r="I101" i="40"/>
  <c r="B109" i="23"/>
  <c r="F109" i="23"/>
  <c r="B103" i="39"/>
  <c r="F103" i="39"/>
  <c r="H102" i="37"/>
  <c r="I102" i="37"/>
  <c r="B108" i="24"/>
  <c r="F108" i="24"/>
  <c r="I112" i="9"/>
  <c r="H112" i="9"/>
  <c r="B111" i="3"/>
  <c r="F111" i="3"/>
  <c r="B111" i="4"/>
  <c r="F111" i="4"/>
  <c r="H110" i="3"/>
  <c r="I110" i="3"/>
  <c r="B107" i="27"/>
  <c r="F107" i="27"/>
  <c r="B114" i="7"/>
  <c r="F114" i="7"/>
  <c r="B106" i="29"/>
  <c r="F106" i="29"/>
  <c r="H105" i="28"/>
  <c r="I105" i="28"/>
  <c r="B103" i="43"/>
  <c r="F103" i="43"/>
  <c r="B110" i="22"/>
  <c r="F110" i="22"/>
  <c r="B114" i="10"/>
  <c r="F114" i="10"/>
  <c r="H108" i="23"/>
  <c r="I108" i="23"/>
  <c r="H102" i="39"/>
  <c r="I102" i="39"/>
  <c r="H107" i="24"/>
  <c r="I107" i="24"/>
  <c r="B112" i="6"/>
  <c r="F112" i="6"/>
  <c r="B105" i="30"/>
  <c r="F105" i="30"/>
  <c r="B106" i="31"/>
  <c r="F106" i="31"/>
  <c r="H110" i="4"/>
  <c r="I110" i="4"/>
  <c r="H106" i="27"/>
  <c r="I106" i="27"/>
  <c r="B112" i="8"/>
  <c r="F112" i="8"/>
  <c r="I113" i="7"/>
  <c r="H113" i="7"/>
  <c r="H105" i="29"/>
  <c r="I105" i="29"/>
  <c r="H102" i="43"/>
  <c r="I102" i="43"/>
  <c r="B110" i="25"/>
  <c r="F110" i="25"/>
  <c r="H109" i="22"/>
  <c r="I109" i="22"/>
  <c r="H113" i="10"/>
  <c r="I113" i="10"/>
  <c r="B113" i="11"/>
  <c r="F113" i="11"/>
  <c r="H111" i="6"/>
  <c r="I111" i="6"/>
  <c r="B111" i="5"/>
  <c r="F111" i="5"/>
  <c r="I104" i="30"/>
  <c r="H104" i="30"/>
  <c r="H111" i="8"/>
  <c r="I111" i="8"/>
  <c r="B102" i="40"/>
  <c r="F102" i="40"/>
  <c r="H109" i="25"/>
  <c r="I109" i="25"/>
  <c r="H112" i="11"/>
  <c r="I112" i="11"/>
  <c r="B103" i="37"/>
  <c r="F103" i="37"/>
  <c r="B113" i="9"/>
  <c r="F113" i="9"/>
  <c r="H110" i="5"/>
  <c r="I110" i="5"/>
  <c r="J103" i="42" l="1"/>
  <c r="I103" i="41"/>
  <c r="H103" i="41"/>
  <c r="G104" i="42"/>
  <c r="D105" i="42"/>
  <c r="E104" i="38"/>
  <c r="B104" i="38"/>
  <c r="F104" i="38"/>
  <c r="E104" i="41"/>
  <c r="F104" i="41" s="1"/>
  <c r="B104" i="41"/>
  <c r="H103" i="38"/>
  <c r="I103" i="38"/>
  <c r="G103" i="37"/>
  <c r="D104" i="37"/>
  <c r="E104" i="37"/>
  <c r="G113" i="11"/>
  <c r="D114" i="11"/>
  <c r="E114" i="11"/>
  <c r="J105" i="29"/>
  <c r="G112" i="8"/>
  <c r="D113" i="8"/>
  <c r="E113" i="8"/>
  <c r="G103" i="43"/>
  <c r="D104" i="43"/>
  <c r="E104" i="43"/>
  <c r="G106" i="29"/>
  <c r="D107" i="29"/>
  <c r="E107" i="29"/>
  <c r="G107" i="27"/>
  <c r="D108" i="27"/>
  <c r="E108" i="27"/>
  <c r="G111" i="4"/>
  <c r="D112" i="4"/>
  <c r="E112" i="4"/>
  <c r="J102" i="37"/>
  <c r="G106" i="28"/>
  <c r="D107" i="28"/>
  <c r="E107" i="28"/>
  <c r="J109" i="25"/>
  <c r="G111" i="5"/>
  <c r="D112" i="5"/>
  <c r="E112" i="5"/>
  <c r="J109" i="22"/>
  <c r="J110" i="4"/>
  <c r="G105" i="30"/>
  <c r="D106" i="30"/>
  <c r="E106" i="30"/>
  <c r="J107" i="24"/>
  <c r="J108" i="23"/>
  <c r="G110" i="22"/>
  <c r="D111" i="22"/>
  <c r="E111" i="22"/>
  <c r="G109" i="23"/>
  <c r="D110" i="23"/>
  <c r="E110" i="23"/>
  <c r="J101" i="40"/>
  <c r="J110" i="5"/>
  <c r="G113" i="9"/>
  <c r="D114" i="9"/>
  <c r="E114" i="9"/>
  <c r="J112" i="11"/>
  <c r="G102" i="40"/>
  <c r="D103" i="40"/>
  <c r="E103" i="40"/>
  <c r="J111" i="8"/>
  <c r="J104" i="30"/>
  <c r="J113" i="10"/>
  <c r="J102" i="43"/>
  <c r="J106" i="27"/>
  <c r="J105" i="28"/>
  <c r="G114" i="7"/>
  <c r="D115" i="7"/>
  <c r="E115" i="7"/>
  <c r="J110" i="3"/>
  <c r="G108" i="24"/>
  <c r="D109" i="24"/>
  <c r="E109" i="24"/>
  <c r="G103" i="39"/>
  <c r="D104" i="39"/>
  <c r="E104" i="39"/>
  <c r="J105" i="31"/>
  <c r="J111" i="6"/>
  <c r="G110" i="25"/>
  <c r="D111" i="25"/>
  <c r="E111" i="25"/>
  <c r="J113" i="7"/>
  <c r="G106" i="31"/>
  <c r="D107" i="31"/>
  <c r="E107" i="31"/>
  <c r="G112" i="6"/>
  <c r="D113" i="6"/>
  <c r="E113" i="6"/>
  <c r="J102" i="39"/>
  <c r="G114" i="10"/>
  <c r="D115" i="10"/>
  <c r="E115" i="10"/>
  <c r="G111" i="3"/>
  <c r="D112" i="3"/>
  <c r="E112" i="3"/>
  <c r="J112" i="9"/>
  <c r="J103" i="38" l="1"/>
  <c r="D105" i="41"/>
  <c r="G104" i="41"/>
  <c r="D105" i="38"/>
  <c r="G104" i="38"/>
  <c r="E105" i="38"/>
  <c r="I104" i="42"/>
  <c r="H104" i="42"/>
  <c r="E105" i="42"/>
  <c r="F105" i="42" s="1"/>
  <c r="B105" i="42"/>
  <c r="J103" i="41"/>
  <c r="B111" i="25"/>
  <c r="F111" i="25"/>
  <c r="B104" i="39"/>
  <c r="F104" i="39"/>
  <c r="H108" i="24"/>
  <c r="I108" i="24"/>
  <c r="H109" i="23"/>
  <c r="I109" i="23"/>
  <c r="H110" i="22"/>
  <c r="I110" i="22"/>
  <c r="B107" i="28"/>
  <c r="F107" i="28"/>
  <c r="B108" i="27"/>
  <c r="F108" i="27"/>
  <c r="I106" i="29"/>
  <c r="H106" i="29"/>
  <c r="H113" i="11"/>
  <c r="I113" i="11"/>
  <c r="B112" i="3"/>
  <c r="F112" i="3"/>
  <c r="I111" i="3"/>
  <c r="H111" i="3"/>
  <c r="B115" i="10"/>
  <c r="F115" i="10"/>
  <c r="B107" i="31"/>
  <c r="F107" i="31"/>
  <c r="H110" i="25"/>
  <c r="I110" i="25"/>
  <c r="I103" i="39"/>
  <c r="H103" i="39"/>
  <c r="B115" i="7"/>
  <c r="F115" i="7"/>
  <c r="B103" i="40"/>
  <c r="F103" i="40"/>
  <c r="H106" i="28"/>
  <c r="I106" i="28"/>
  <c r="B112" i="4"/>
  <c r="F112" i="4"/>
  <c r="H107" i="27"/>
  <c r="I107" i="27"/>
  <c r="H114" i="10"/>
  <c r="I114" i="10"/>
  <c r="B113" i="6"/>
  <c r="F113" i="6"/>
  <c r="I106" i="31"/>
  <c r="H106" i="31"/>
  <c r="H114" i="7"/>
  <c r="I114" i="7"/>
  <c r="H102" i="40"/>
  <c r="I102" i="40"/>
  <c r="B114" i="9"/>
  <c r="F114" i="9"/>
  <c r="B106" i="30"/>
  <c r="F106" i="30"/>
  <c r="B112" i="5"/>
  <c r="F112" i="5"/>
  <c r="H111" i="4"/>
  <c r="I111" i="4"/>
  <c r="B104" i="43"/>
  <c r="F104" i="43"/>
  <c r="B113" i="8"/>
  <c r="F113" i="8"/>
  <c r="B104" i="37"/>
  <c r="F104" i="37"/>
  <c r="H112" i="6"/>
  <c r="I112" i="6"/>
  <c r="B109" i="24"/>
  <c r="F109" i="24"/>
  <c r="H113" i="9"/>
  <c r="I113" i="9"/>
  <c r="B110" i="23"/>
  <c r="F110" i="23"/>
  <c r="B111" i="22"/>
  <c r="F111" i="22"/>
  <c r="I105" i="30"/>
  <c r="H105" i="30"/>
  <c r="H111" i="5"/>
  <c r="I111" i="5"/>
  <c r="B107" i="29"/>
  <c r="F107" i="29"/>
  <c r="H103" i="43"/>
  <c r="I103" i="43"/>
  <c r="H112" i="8"/>
  <c r="I112" i="8"/>
  <c r="B114" i="11"/>
  <c r="F114" i="11"/>
  <c r="H103" i="37"/>
  <c r="I103" i="37"/>
  <c r="G105" i="42" l="1"/>
  <c r="D106" i="42"/>
  <c r="H104" i="38"/>
  <c r="I104" i="38"/>
  <c r="J104" i="38" s="1"/>
  <c r="B105" i="38"/>
  <c r="F105" i="38"/>
  <c r="J104" i="42"/>
  <c r="I104" i="41"/>
  <c r="J104" i="41" s="1"/>
  <c r="H104" i="41"/>
  <c r="E105" i="41"/>
  <c r="B105" i="41"/>
  <c r="F105" i="41"/>
  <c r="G113" i="8"/>
  <c r="D114" i="8"/>
  <c r="E114" i="8"/>
  <c r="J112" i="8"/>
  <c r="J113" i="9"/>
  <c r="J103" i="39"/>
  <c r="J110" i="25"/>
  <c r="J111" i="3"/>
  <c r="J108" i="24"/>
  <c r="J111" i="4"/>
  <c r="J103" i="37"/>
  <c r="G107" i="29"/>
  <c r="D108" i="29"/>
  <c r="E108" i="29"/>
  <c r="G106" i="30"/>
  <c r="D107" i="30"/>
  <c r="E107" i="30"/>
  <c r="G110" i="23"/>
  <c r="D111" i="23"/>
  <c r="E111" i="23"/>
  <c r="G109" i="24"/>
  <c r="D110" i="24"/>
  <c r="E110" i="24"/>
  <c r="G104" i="37"/>
  <c r="D105" i="37"/>
  <c r="E105" i="37"/>
  <c r="G104" i="43"/>
  <c r="D105" i="43"/>
  <c r="E105" i="43"/>
  <c r="J102" i="40"/>
  <c r="J114" i="10"/>
  <c r="J107" i="27"/>
  <c r="J106" i="28"/>
  <c r="G103" i="40"/>
  <c r="D104" i="40"/>
  <c r="E104" i="40"/>
  <c r="G115" i="7"/>
  <c r="D116" i="7"/>
  <c r="E116" i="7"/>
  <c r="G115" i="10"/>
  <c r="D116" i="10"/>
  <c r="E116" i="10"/>
  <c r="G112" i="3"/>
  <c r="D113" i="3"/>
  <c r="E113" i="3"/>
  <c r="G107" i="28"/>
  <c r="D108" i="28"/>
  <c r="E108" i="28"/>
  <c r="J110" i="22"/>
  <c r="G111" i="25"/>
  <c r="D112" i="25"/>
  <c r="E112" i="25"/>
  <c r="G111" i="22"/>
  <c r="D112" i="22"/>
  <c r="E112" i="22"/>
  <c r="G114" i="11"/>
  <c r="D115" i="11"/>
  <c r="E115" i="11"/>
  <c r="J103" i="43"/>
  <c r="J105" i="30"/>
  <c r="G112" i="5"/>
  <c r="D113" i="5"/>
  <c r="E113" i="5"/>
  <c r="J106" i="31"/>
  <c r="J106" i="29"/>
  <c r="G104" i="39"/>
  <c r="D105" i="39"/>
  <c r="E105" i="39"/>
  <c r="J111" i="5"/>
  <c r="J112" i="6"/>
  <c r="G114" i="9"/>
  <c r="D115" i="9"/>
  <c r="E115" i="9"/>
  <c r="J114" i="7"/>
  <c r="G113" i="6"/>
  <c r="D114" i="6"/>
  <c r="E114" i="6"/>
  <c r="G112" i="4"/>
  <c r="D113" i="4"/>
  <c r="E113" i="4"/>
  <c r="G107" i="31"/>
  <c r="D108" i="31"/>
  <c r="E108" i="31"/>
  <c r="J113" i="11"/>
  <c r="G108" i="27"/>
  <c r="D109" i="27"/>
  <c r="E109" i="27"/>
  <c r="J109" i="23"/>
  <c r="D106" i="41" l="1"/>
  <c r="G105" i="41"/>
  <c r="D106" i="38"/>
  <c r="G105" i="38"/>
  <c r="E106" i="42"/>
  <c r="F106" i="42" s="1"/>
  <c r="B106" i="42"/>
  <c r="I105" i="42"/>
  <c r="J105" i="42" s="1"/>
  <c r="H105" i="42"/>
  <c r="B109" i="27"/>
  <c r="F109" i="27"/>
  <c r="B108" i="31"/>
  <c r="F108" i="31"/>
  <c r="H112" i="4"/>
  <c r="I112" i="4"/>
  <c r="H114" i="9"/>
  <c r="I114" i="9"/>
  <c r="H112" i="5"/>
  <c r="I112" i="5"/>
  <c r="B112" i="25"/>
  <c r="F112" i="25"/>
  <c r="B113" i="3"/>
  <c r="F113" i="3"/>
  <c r="H115" i="10"/>
  <c r="I115" i="10"/>
  <c r="B105" i="43"/>
  <c r="F105" i="43"/>
  <c r="I104" i="37"/>
  <c r="H104" i="37"/>
  <c r="B107" i="30"/>
  <c r="F107" i="30"/>
  <c r="H107" i="29"/>
  <c r="I107" i="29"/>
  <c r="I108" i="27"/>
  <c r="H108" i="27"/>
  <c r="H107" i="31"/>
  <c r="I107" i="31"/>
  <c r="B112" i="22"/>
  <c r="F112" i="22"/>
  <c r="H111" i="25"/>
  <c r="I111" i="25"/>
  <c r="B108" i="28"/>
  <c r="F108" i="28"/>
  <c r="H112" i="3"/>
  <c r="I112" i="3"/>
  <c r="B104" i="40"/>
  <c r="F104" i="40"/>
  <c r="I104" i="43"/>
  <c r="H104" i="43"/>
  <c r="B111" i="23"/>
  <c r="F111" i="23"/>
  <c r="H106" i="30"/>
  <c r="I106" i="30"/>
  <c r="B114" i="6"/>
  <c r="F114" i="6"/>
  <c r="B105" i="39"/>
  <c r="F105" i="39"/>
  <c r="B115" i="11"/>
  <c r="F115" i="11"/>
  <c r="H111" i="22"/>
  <c r="I111" i="22"/>
  <c r="H107" i="28"/>
  <c r="I107" i="28"/>
  <c r="B116" i="7"/>
  <c r="F116" i="7"/>
  <c r="H103" i="40"/>
  <c r="I103" i="40"/>
  <c r="B110" i="24"/>
  <c r="F110" i="24"/>
  <c r="H110" i="23"/>
  <c r="I110" i="23"/>
  <c r="B114" i="8"/>
  <c r="F114" i="8"/>
  <c r="B113" i="4"/>
  <c r="F113" i="4"/>
  <c r="H113" i="6"/>
  <c r="I113" i="6"/>
  <c r="B115" i="9"/>
  <c r="F115" i="9"/>
  <c r="H104" i="39"/>
  <c r="I104" i="39"/>
  <c r="B113" i="5"/>
  <c r="F113" i="5"/>
  <c r="H114" i="11"/>
  <c r="I114" i="11"/>
  <c r="B116" i="10"/>
  <c r="F116" i="10"/>
  <c r="H115" i="7"/>
  <c r="I115" i="7"/>
  <c r="B105" i="37"/>
  <c r="F105" i="37"/>
  <c r="H109" i="24"/>
  <c r="I109" i="24"/>
  <c r="B108" i="29"/>
  <c r="F108" i="29"/>
  <c r="H113" i="8"/>
  <c r="I113" i="8"/>
  <c r="I105" i="38" l="1"/>
  <c r="H105" i="38"/>
  <c r="D107" i="42"/>
  <c r="G106" i="42"/>
  <c r="E106" i="38"/>
  <c r="B106" i="38"/>
  <c r="F106" i="38"/>
  <c r="H105" i="41"/>
  <c r="I105" i="41"/>
  <c r="E106" i="41"/>
  <c r="F106" i="41" s="1"/>
  <c r="B106" i="41"/>
  <c r="J113" i="8"/>
  <c r="J109" i="24"/>
  <c r="J115" i="7"/>
  <c r="J114" i="11"/>
  <c r="J104" i="39"/>
  <c r="J113" i="6"/>
  <c r="G114" i="8"/>
  <c r="D115" i="8"/>
  <c r="E115" i="8"/>
  <c r="G110" i="24"/>
  <c r="D111" i="24"/>
  <c r="E111" i="24"/>
  <c r="G116" i="7"/>
  <c r="D117" i="7"/>
  <c r="E117" i="7"/>
  <c r="J111" i="22"/>
  <c r="G105" i="39"/>
  <c r="D106" i="39"/>
  <c r="E106" i="39"/>
  <c r="J106" i="30"/>
  <c r="J112" i="3"/>
  <c r="J111" i="25"/>
  <c r="J107" i="31"/>
  <c r="J107" i="29"/>
  <c r="J115" i="10"/>
  <c r="G112" i="25"/>
  <c r="D113" i="25"/>
  <c r="E113" i="25"/>
  <c r="J114" i="9"/>
  <c r="G108" i="31"/>
  <c r="D109" i="31"/>
  <c r="E109" i="31"/>
  <c r="J104" i="43"/>
  <c r="J104" i="37"/>
  <c r="G108" i="29"/>
  <c r="D109" i="29"/>
  <c r="E109" i="29"/>
  <c r="G105" i="37"/>
  <c r="D106" i="37"/>
  <c r="E106" i="37"/>
  <c r="G116" i="10"/>
  <c r="D117" i="10"/>
  <c r="E117" i="10"/>
  <c r="G113" i="5"/>
  <c r="D114" i="5"/>
  <c r="E114" i="5"/>
  <c r="G115" i="9"/>
  <c r="D116" i="9"/>
  <c r="E116" i="9"/>
  <c r="G113" i="4"/>
  <c r="D114" i="4"/>
  <c r="E114" i="4"/>
  <c r="J110" i="23"/>
  <c r="J103" i="40"/>
  <c r="J107" i="28"/>
  <c r="G115" i="11"/>
  <c r="D116" i="11"/>
  <c r="E116" i="11"/>
  <c r="G114" i="6"/>
  <c r="D115" i="6"/>
  <c r="E115" i="6"/>
  <c r="G111" i="23"/>
  <c r="D112" i="23"/>
  <c r="E112" i="23"/>
  <c r="G104" i="40"/>
  <c r="D105" i="40"/>
  <c r="E105" i="40"/>
  <c r="G108" i="28"/>
  <c r="D109" i="28"/>
  <c r="E109" i="28"/>
  <c r="G112" i="22"/>
  <c r="D113" i="22"/>
  <c r="E113" i="22"/>
  <c r="G107" i="30"/>
  <c r="D108" i="30"/>
  <c r="E108" i="30"/>
  <c r="G105" i="43"/>
  <c r="D106" i="43"/>
  <c r="E106" i="43"/>
  <c r="G113" i="3"/>
  <c r="D114" i="3"/>
  <c r="E114" i="3"/>
  <c r="J112" i="5"/>
  <c r="J112" i="4"/>
  <c r="G109" i="27"/>
  <c r="D110" i="27"/>
  <c r="E110" i="27"/>
  <c r="J108" i="27"/>
  <c r="H106" i="42" l="1"/>
  <c r="I106" i="42"/>
  <c r="D107" i="41"/>
  <c r="G106" i="41"/>
  <c r="D107" i="38"/>
  <c r="G106" i="38"/>
  <c r="E107" i="42"/>
  <c r="F107" i="42" s="1"/>
  <c r="B107" i="42"/>
  <c r="J105" i="41"/>
  <c r="J105" i="38"/>
  <c r="B114" i="3"/>
  <c r="F114" i="3"/>
  <c r="B109" i="28"/>
  <c r="F109" i="28"/>
  <c r="H104" i="40"/>
  <c r="I104" i="40"/>
  <c r="B116" i="11"/>
  <c r="F116" i="11"/>
  <c r="B116" i="9"/>
  <c r="F116" i="9"/>
  <c r="H113" i="5"/>
  <c r="I113" i="5"/>
  <c r="B109" i="29"/>
  <c r="F109" i="29"/>
  <c r="H108" i="31"/>
  <c r="I108" i="31"/>
  <c r="B113" i="25"/>
  <c r="F113" i="25"/>
  <c r="H105" i="39"/>
  <c r="I105" i="39"/>
  <c r="B117" i="7"/>
  <c r="F117" i="7"/>
  <c r="I110" i="24"/>
  <c r="H110" i="24"/>
  <c r="I105" i="43"/>
  <c r="H105" i="43"/>
  <c r="B110" i="27"/>
  <c r="F110" i="27"/>
  <c r="I113" i="3"/>
  <c r="H113" i="3"/>
  <c r="B113" i="22"/>
  <c r="F113" i="22"/>
  <c r="H108" i="28"/>
  <c r="I108" i="28"/>
  <c r="B115" i="6"/>
  <c r="F115" i="6"/>
  <c r="H115" i="11"/>
  <c r="I115" i="11"/>
  <c r="B114" i="4"/>
  <c r="F114" i="4"/>
  <c r="H115" i="9"/>
  <c r="I115" i="9"/>
  <c r="B106" i="37"/>
  <c r="F106" i="37"/>
  <c r="H108" i="29"/>
  <c r="I108" i="29"/>
  <c r="H112" i="25"/>
  <c r="I112" i="25"/>
  <c r="H116" i="7"/>
  <c r="I116" i="7"/>
  <c r="H109" i="27"/>
  <c r="I109" i="27"/>
  <c r="B108" i="30"/>
  <c r="F108" i="30"/>
  <c r="H112" i="22"/>
  <c r="I112" i="22"/>
  <c r="B112" i="23"/>
  <c r="F112" i="23"/>
  <c r="H114" i="6"/>
  <c r="I114" i="6"/>
  <c r="H113" i="4"/>
  <c r="I113" i="4"/>
  <c r="B117" i="10"/>
  <c r="F117" i="10"/>
  <c r="H105" i="37"/>
  <c r="I105" i="37"/>
  <c r="B115" i="8"/>
  <c r="F115" i="8"/>
  <c r="B106" i="43"/>
  <c r="F106" i="43"/>
  <c r="H107" i="30"/>
  <c r="I107" i="30"/>
  <c r="B105" i="40"/>
  <c r="F105" i="40"/>
  <c r="H111" i="23"/>
  <c r="I111" i="23"/>
  <c r="B114" i="5"/>
  <c r="F114" i="5"/>
  <c r="H116" i="10"/>
  <c r="I116" i="10"/>
  <c r="B109" i="31"/>
  <c r="F109" i="31"/>
  <c r="B106" i="39"/>
  <c r="F106" i="39"/>
  <c r="B111" i="24"/>
  <c r="F111" i="24"/>
  <c r="H114" i="8"/>
  <c r="I114" i="8"/>
  <c r="J106" i="42" l="1"/>
  <c r="G107" i="42"/>
  <c r="D108" i="42"/>
  <c r="I106" i="41"/>
  <c r="H106" i="41"/>
  <c r="E107" i="41"/>
  <c r="F107" i="41"/>
  <c r="B107" i="41"/>
  <c r="H106" i="38"/>
  <c r="I106" i="38"/>
  <c r="E107" i="38"/>
  <c r="F107" i="38"/>
  <c r="B107" i="38"/>
  <c r="J114" i="8"/>
  <c r="J116" i="10"/>
  <c r="J105" i="39"/>
  <c r="J113" i="3"/>
  <c r="J105" i="43"/>
  <c r="G106" i="39"/>
  <c r="D107" i="39"/>
  <c r="E107" i="39"/>
  <c r="J111" i="23"/>
  <c r="J107" i="30"/>
  <c r="G115" i="8"/>
  <c r="D116" i="8"/>
  <c r="E116" i="8"/>
  <c r="G117" i="10"/>
  <c r="D118" i="10"/>
  <c r="E118" i="10"/>
  <c r="J114" i="6"/>
  <c r="J112" i="22"/>
  <c r="J109" i="27"/>
  <c r="J112" i="25"/>
  <c r="G106" i="37"/>
  <c r="D107" i="37"/>
  <c r="E107" i="37"/>
  <c r="G114" i="4"/>
  <c r="D115" i="4"/>
  <c r="E115" i="4"/>
  <c r="G115" i="6"/>
  <c r="D116" i="6"/>
  <c r="E116" i="6"/>
  <c r="G113" i="22"/>
  <c r="D114" i="22"/>
  <c r="E114" i="22"/>
  <c r="G110" i="27"/>
  <c r="D111" i="27"/>
  <c r="E111" i="27"/>
  <c r="J108" i="31"/>
  <c r="J113" i="5"/>
  <c r="G116" i="11"/>
  <c r="D117" i="11"/>
  <c r="E117" i="11"/>
  <c r="G109" i="28"/>
  <c r="D110" i="28"/>
  <c r="E110" i="28"/>
  <c r="J110" i="24"/>
  <c r="G111" i="24"/>
  <c r="D112" i="24"/>
  <c r="E112" i="24"/>
  <c r="G109" i="31"/>
  <c r="D110" i="31"/>
  <c r="E110" i="31"/>
  <c r="G114" i="5"/>
  <c r="D115" i="5"/>
  <c r="E115" i="5"/>
  <c r="G105" i="40"/>
  <c r="D106" i="40"/>
  <c r="E106" i="40"/>
  <c r="G106" i="43"/>
  <c r="D107" i="43"/>
  <c r="E107" i="43"/>
  <c r="J105" i="37"/>
  <c r="J113" i="4"/>
  <c r="G112" i="23"/>
  <c r="D113" i="23"/>
  <c r="E113" i="23"/>
  <c r="G108" i="30"/>
  <c r="D109" i="30"/>
  <c r="E109" i="30"/>
  <c r="J116" i="7"/>
  <c r="J108" i="29"/>
  <c r="J115" i="9"/>
  <c r="J115" i="11"/>
  <c r="J108" i="28"/>
  <c r="G117" i="7"/>
  <c r="D118" i="7"/>
  <c r="E118" i="7"/>
  <c r="G113" i="25"/>
  <c r="D114" i="25"/>
  <c r="E114" i="25"/>
  <c r="G109" i="29"/>
  <c r="D110" i="29"/>
  <c r="E110" i="29"/>
  <c r="G116" i="9"/>
  <c r="D117" i="9"/>
  <c r="E117" i="9"/>
  <c r="J104" i="40"/>
  <c r="G114" i="3"/>
  <c r="D115" i="3"/>
  <c r="E115" i="3"/>
  <c r="J106" i="41" l="1"/>
  <c r="G107" i="38"/>
  <c r="D108" i="38"/>
  <c r="G107" i="41"/>
  <c r="D108" i="41"/>
  <c r="E108" i="42"/>
  <c r="F108" i="42" s="1"/>
  <c r="B108" i="42"/>
  <c r="J106" i="38"/>
  <c r="H107" i="42"/>
  <c r="I107" i="42"/>
  <c r="B115" i="3"/>
  <c r="F115" i="3"/>
  <c r="H114" i="3"/>
  <c r="I114" i="3"/>
  <c r="H116" i="9"/>
  <c r="I116" i="9"/>
  <c r="B114" i="25"/>
  <c r="F114" i="25"/>
  <c r="H117" i="7"/>
  <c r="I117" i="7"/>
  <c r="H108" i="30"/>
  <c r="I108" i="30"/>
  <c r="I106" i="43"/>
  <c r="H106" i="43"/>
  <c r="B110" i="31"/>
  <c r="F110" i="31"/>
  <c r="H111" i="24"/>
  <c r="I111" i="24"/>
  <c r="H109" i="28"/>
  <c r="I109" i="28"/>
  <c r="I110" i="27"/>
  <c r="H110" i="27"/>
  <c r="B115" i="4"/>
  <c r="F115" i="4"/>
  <c r="H106" i="37"/>
  <c r="I106" i="37"/>
  <c r="B110" i="29"/>
  <c r="F110" i="29"/>
  <c r="H113" i="25"/>
  <c r="I113" i="25"/>
  <c r="B115" i="5"/>
  <c r="F115" i="5"/>
  <c r="H109" i="31"/>
  <c r="I109" i="31"/>
  <c r="B116" i="6"/>
  <c r="F116" i="6"/>
  <c r="H114" i="4"/>
  <c r="I114" i="4"/>
  <c r="B116" i="8"/>
  <c r="F116" i="8"/>
  <c r="B117" i="9"/>
  <c r="F117" i="9"/>
  <c r="H109" i="29"/>
  <c r="I109" i="29"/>
  <c r="B113" i="23"/>
  <c r="F113" i="23"/>
  <c r="B106" i="40"/>
  <c r="F106" i="40"/>
  <c r="H114" i="5"/>
  <c r="I114" i="5"/>
  <c r="B117" i="11"/>
  <c r="F117" i="11"/>
  <c r="B114" i="22"/>
  <c r="F114" i="22"/>
  <c r="I115" i="6"/>
  <c r="H115" i="6"/>
  <c r="B118" i="10"/>
  <c r="F118" i="10"/>
  <c r="I115" i="8"/>
  <c r="H115" i="8"/>
  <c r="B107" i="39"/>
  <c r="F107" i="39"/>
  <c r="B118" i="7"/>
  <c r="F118" i="7"/>
  <c r="B109" i="30"/>
  <c r="F109" i="30"/>
  <c r="I112" i="23"/>
  <c r="H112" i="23"/>
  <c r="B107" i="43"/>
  <c r="F107" i="43"/>
  <c r="H105" i="40"/>
  <c r="I105" i="40"/>
  <c r="B112" i="24"/>
  <c r="F112" i="24"/>
  <c r="B110" i="28"/>
  <c r="F110" i="28"/>
  <c r="H116" i="11"/>
  <c r="I116" i="11"/>
  <c r="B111" i="27"/>
  <c r="F111" i="27"/>
  <c r="H113" i="22"/>
  <c r="I113" i="22"/>
  <c r="B107" i="37"/>
  <c r="F107" i="37"/>
  <c r="H117" i="10"/>
  <c r="I117" i="10"/>
  <c r="H106" i="39"/>
  <c r="I106" i="39"/>
  <c r="G108" i="42" l="1"/>
  <c r="D109" i="42"/>
  <c r="E108" i="41"/>
  <c r="F108" i="41" s="1"/>
  <c r="B108" i="41"/>
  <c r="H107" i="41"/>
  <c r="I107" i="41"/>
  <c r="J114" i="3"/>
  <c r="J107" i="42"/>
  <c r="E108" i="38"/>
  <c r="F108" i="38" s="1"/>
  <c r="B108" i="38"/>
  <c r="I107" i="38"/>
  <c r="H107" i="38"/>
  <c r="J110" i="27"/>
  <c r="J106" i="43"/>
  <c r="J112" i="23"/>
  <c r="J115" i="8"/>
  <c r="J115" i="6"/>
  <c r="J106" i="39"/>
  <c r="G107" i="37"/>
  <c r="D108" i="37"/>
  <c r="E108" i="37"/>
  <c r="G111" i="27"/>
  <c r="D112" i="27"/>
  <c r="E112" i="27"/>
  <c r="G110" i="28"/>
  <c r="D111" i="28"/>
  <c r="E111" i="28"/>
  <c r="J105" i="40"/>
  <c r="G118" i="7"/>
  <c r="D119" i="7"/>
  <c r="E119" i="7"/>
  <c r="G117" i="11"/>
  <c r="D118" i="11"/>
  <c r="E118" i="11"/>
  <c r="G106" i="40"/>
  <c r="D107" i="40"/>
  <c r="E107" i="40"/>
  <c r="J109" i="29"/>
  <c r="G116" i="8"/>
  <c r="D117" i="8"/>
  <c r="E117" i="8"/>
  <c r="G116" i="6"/>
  <c r="D117" i="6"/>
  <c r="E117" i="6"/>
  <c r="G115" i="5"/>
  <c r="D116" i="5"/>
  <c r="E116" i="5"/>
  <c r="G110" i="29"/>
  <c r="D111" i="29"/>
  <c r="E111" i="29"/>
  <c r="G115" i="4"/>
  <c r="D116" i="4"/>
  <c r="E116" i="4"/>
  <c r="J109" i="28"/>
  <c r="G110" i="31"/>
  <c r="D111" i="31"/>
  <c r="E111" i="31"/>
  <c r="J108" i="30"/>
  <c r="G114" i="25"/>
  <c r="D115" i="25"/>
  <c r="E115" i="25"/>
  <c r="J117" i="10"/>
  <c r="J113" i="22"/>
  <c r="J116" i="11"/>
  <c r="G112" i="24"/>
  <c r="D113" i="24"/>
  <c r="E113" i="24"/>
  <c r="G107" i="43"/>
  <c r="D108" i="43"/>
  <c r="E108" i="43"/>
  <c r="G109" i="30"/>
  <c r="D110" i="30"/>
  <c r="E110" i="30"/>
  <c r="G107" i="39"/>
  <c r="D108" i="39"/>
  <c r="E108" i="39"/>
  <c r="G118" i="10"/>
  <c r="D119" i="10"/>
  <c r="E119" i="10"/>
  <c r="G114" i="22"/>
  <c r="D115" i="22"/>
  <c r="E115" i="22"/>
  <c r="J114" i="5"/>
  <c r="G113" i="23"/>
  <c r="D114" i="23"/>
  <c r="E114" i="23"/>
  <c r="G117" i="9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J107" i="41" l="1"/>
  <c r="D109" i="41"/>
  <c r="B109" i="41" s="1"/>
  <c r="G108" i="41"/>
  <c r="E109" i="41"/>
  <c r="F109" i="41" s="1"/>
  <c r="G108" i="38"/>
  <c r="D109" i="38"/>
  <c r="E109" i="42"/>
  <c r="F109" i="42"/>
  <c r="B109" i="42"/>
  <c r="J107" i="38"/>
  <c r="I108" i="42"/>
  <c r="H108" i="42"/>
  <c r="H115" i="3"/>
  <c r="I115" i="3"/>
  <c r="B114" i="23"/>
  <c r="F114" i="23"/>
  <c r="B115" i="22"/>
  <c r="F115" i="22"/>
  <c r="H118" i="10"/>
  <c r="I118" i="10"/>
  <c r="B108" i="43"/>
  <c r="F108" i="43"/>
  <c r="I112" i="24"/>
  <c r="H112" i="24"/>
  <c r="B111" i="29"/>
  <c r="F111" i="29"/>
  <c r="H115" i="5"/>
  <c r="I115" i="5"/>
  <c r="B118" i="11"/>
  <c r="F118" i="11"/>
  <c r="I118" i="7"/>
  <c r="H118" i="7"/>
  <c r="H110" i="28"/>
  <c r="I110" i="28"/>
  <c r="H113" i="23"/>
  <c r="I113" i="23"/>
  <c r="B110" i="30"/>
  <c r="F110" i="30"/>
  <c r="H107" i="43"/>
  <c r="I107" i="43"/>
  <c r="B115" i="25"/>
  <c r="F115" i="25"/>
  <c r="B111" i="31"/>
  <c r="F111" i="31"/>
  <c r="B116" i="4"/>
  <c r="F116" i="4"/>
  <c r="H110" i="29"/>
  <c r="I110" i="29"/>
  <c r="B117" i="8"/>
  <c r="F117" i="8"/>
  <c r="B107" i="40"/>
  <c r="F107" i="40"/>
  <c r="I117" i="11"/>
  <c r="H117" i="11"/>
  <c r="B108" i="37"/>
  <c r="F108" i="37"/>
  <c r="B118" i="9"/>
  <c r="F118" i="9"/>
  <c r="H114" i="22"/>
  <c r="I114" i="22"/>
  <c r="H117" i="9"/>
  <c r="I117" i="9"/>
  <c r="B108" i="39"/>
  <c r="F108" i="39"/>
  <c r="I109" i="30"/>
  <c r="H109" i="30"/>
  <c r="H114" i="25"/>
  <c r="I114" i="25"/>
  <c r="H110" i="31"/>
  <c r="I110" i="31"/>
  <c r="H115" i="4"/>
  <c r="I115" i="4"/>
  <c r="B117" i="6"/>
  <c r="F117" i="6"/>
  <c r="H116" i="8"/>
  <c r="I116" i="8"/>
  <c r="H106" i="40"/>
  <c r="I106" i="40"/>
  <c r="B112" i="27"/>
  <c r="F112" i="27"/>
  <c r="H107" i="37"/>
  <c r="I107" i="37"/>
  <c r="B116" i="3"/>
  <c r="F116" i="3"/>
  <c r="B119" i="10"/>
  <c r="F119" i="10"/>
  <c r="H107" i="39"/>
  <c r="I107" i="39"/>
  <c r="B113" i="24"/>
  <c r="F113" i="24"/>
  <c r="B116" i="5"/>
  <c r="F116" i="5"/>
  <c r="H116" i="6"/>
  <c r="I116" i="6"/>
  <c r="B119" i="7"/>
  <c r="F119" i="7"/>
  <c r="B111" i="28"/>
  <c r="F111" i="28"/>
  <c r="H111" i="27"/>
  <c r="I111" i="27"/>
  <c r="I108" i="38" l="1"/>
  <c r="H108" i="38"/>
  <c r="G109" i="42"/>
  <c r="D110" i="42"/>
  <c r="G109" i="41"/>
  <c r="D110" i="41"/>
  <c r="J108" i="42"/>
  <c r="H108" i="41"/>
  <c r="I108" i="41"/>
  <c r="E109" i="38"/>
  <c r="B109" i="38"/>
  <c r="F109" i="38"/>
  <c r="J109" i="30"/>
  <c r="J117" i="11"/>
  <c r="J107" i="43"/>
  <c r="J118" i="10"/>
  <c r="J115" i="3"/>
  <c r="J118" i="7"/>
  <c r="J111" i="27"/>
  <c r="G119" i="7"/>
  <c r="D120" i="7"/>
  <c r="E120" i="7"/>
  <c r="G116" i="5"/>
  <c r="D117" i="5"/>
  <c r="E117" i="5"/>
  <c r="J107" i="39"/>
  <c r="G116" i="3"/>
  <c r="D117" i="3"/>
  <c r="E117" i="3"/>
  <c r="G112" i="27"/>
  <c r="D113" i="27"/>
  <c r="E113" i="27"/>
  <c r="J116" i="8"/>
  <c r="J115" i="4"/>
  <c r="J114" i="25"/>
  <c r="G108" i="39"/>
  <c r="D109" i="39"/>
  <c r="E109" i="39"/>
  <c r="J114" i="22"/>
  <c r="G108" i="37"/>
  <c r="D109" i="37"/>
  <c r="E109" i="37"/>
  <c r="G107" i="40"/>
  <c r="D108" i="40"/>
  <c r="E108" i="40"/>
  <c r="J110" i="29"/>
  <c r="G111" i="31"/>
  <c r="D112" i="31"/>
  <c r="E112" i="31"/>
  <c r="J113" i="23"/>
  <c r="J115" i="5"/>
  <c r="G114" i="23"/>
  <c r="D115" i="23"/>
  <c r="E115" i="23"/>
  <c r="J112" i="24"/>
  <c r="G111" i="28"/>
  <c r="D112" i="28"/>
  <c r="E112" i="28"/>
  <c r="J116" i="6"/>
  <c r="G113" i="24"/>
  <c r="D114" i="24"/>
  <c r="E114" i="24"/>
  <c r="G119" i="10"/>
  <c r="D120" i="10"/>
  <c r="E120" i="10"/>
  <c r="J107" i="37"/>
  <c r="J106" i="40"/>
  <c r="G117" i="6"/>
  <c r="D118" i="6"/>
  <c r="E118" i="6"/>
  <c r="J110" i="31"/>
  <c r="J117" i="9"/>
  <c r="G118" i="9"/>
  <c r="D119" i="9"/>
  <c r="E119" i="9"/>
  <c r="G117" i="8"/>
  <c r="D118" i="8"/>
  <c r="E118" i="8"/>
  <c r="G116" i="4"/>
  <c r="D117" i="4"/>
  <c r="E117" i="4"/>
  <c r="G115" i="25"/>
  <c r="D116" i="25"/>
  <c r="E116" i="25"/>
  <c r="G110" i="30"/>
  <c r="D111" i="30"/>
  <c r="E111" i="30"/>
  <c r="J110" i="28"/>
  <c r="G118" i="11"/>
  <c r="D119" i="11"/>
  <c r="E119" i="11"/>
  <c r="G111" i="29"/>
  <c r="D112" i="29"/>
  <c r="E112" i="29"/>
  <c r="G108" i="43"/>
  <c r="D109" i="43"/>
  <c r="E109" i="43"/>
  <c r="G115" i="22"/>
  <c r="D116" i="22"/>
  <c r="E116" i="22"/>
  <c r="J108" i="38" l="1"/>
  <c r="G109" i="38"/>
  <c r="D110" i="38"/>
  <c r="E110" i="42"/>
  <c r="F110" i="42" s="1"/>
  <c r="B110" i="42"/>
  <c r="I109" i="42"/>
  <c r="H109" i="42"/>
  <c r="E110" i="41"/>
  <c r="F110" i="41" s="1"/>
  <c r="B110" i="41"/>
  <c r="J108" i="41"/>
  <c r="I109" i="41"/>
  <c r="H109" i="41"/>
  <c r="I118" i="11"/>
  <c r="H118" i="11"/>
  <c r="I115" i="22"/>
  <c r="H115" i="22"/>
  <c r="B119" i="11"/>
  <c r="F119" i="11"/>
  <c r="B111" i="30"/>
  <c r="F111" i="30"/>
  <c r="H115" i="25"/>
  <c r="I115" i="25"/>
  <c r="B119" i="9"/>
  <c r="F119" i="9"/>
  <c r="H112" i="27"/>
  <c r="I112" i="27"/>
  <c r="B118" i="8"/>
  <c r="F118" i="8"/>
  <c r="I118" i="9"/>
  <c r="H118" i="9"/>
  <c r="B118" i="6"/>
  <c r="F118" i="6"/>
  <c r="B114" i="24"/>
  <c r="F114" i="24"/>
  <c r="B112" i="28"/>
  <c r="F112" i="28"/>
  <c r="B115" i="23"/>
  <c r="F115" i="23"/>
  <c r="B109" i="37"/>
  <c r="F109" i="37"/>
  <c r="B109" i="39"/>
  <c r="F109" i="39"/>
  <c r="B120" i="7"/>
  <c r="F120" i="7"/>
  <c r="B117" i="4"/>
  <c r="F117" i="4"/>
  <c r="B120" i="10"/>
  <c r="F120" i="10"/>
  <c r="H113" i="24"/>
  <c r="I113" i="24"/>
  <c r="H111" i="28"/>
  <c r="I111" i="28"/>
  <c r="H114" i="23"/>
  <c r="I114" i="23"/>
  <c r="B112" i="31"/>
  <c r="F112" i="31"/>
  <c r="B108" i="40"/>
  <c r="F108" i="40"/>
  <c r="I108" i="37"/>
  <c r="H108" i="37"/>
  <c r="H108" i="39"/>
  <c r="I108" i="39"/>
  <c r="B117" i="3"/>
  <c r="F117" i="3"/>
  <c r="B117" i="5"/>
  <c r="F117" i="5"/>
  <c r="H119" i="7"/>
  <c r="I119" i="7"/>
  <c r="B112" i="29"/>
  <c r="F112" i="29"/>
  <c r="H110" i="30"/>
  <c r="I110" i="30"/>
  <c r="B109" i="43"/>
  <c r="F109" i="43"/>
  <c r="H111" i="29"/>
  <c r="I111" i="29"/>
  <c r="H117" i="8"/>
  <c r="I117" i="8"/>
  <c r="H117" i="6"/>
  <c r="I117" i="6"/>
  <c r="B116" i="22"/>
  <c r="F116" i="22"/>
  <c r="H108" i="43"/>
  <c r="I108" i="43"/>
  <c r="B116" i="25"/>
  <c r="F116" i="25"/>
  <c r="H116" i="4"/>
  <c r="I116" i="4"/>
  <c r="H119" i="10"/>
  <c r="I119" i="10"/>
  <c r="I111" i="31"/>
  <c r="H111" i="31"/>
  <c r="H107" i="40"/>
  <c r="I107" i="40"/>
  <c r="B113" i="27"/>
  <c r="F113" i="27"/>
  <c r="H116" i="3"/>
  <c r="I116" i="3"/>
  <c r="H116" i="5"/>
  <c r="I116" i="5"/>
  <c r="J109" i="41" l="1"/>
  <c r="G110" i="41"/>
  <c r="D111" i="41"/>
  <c r="D111" i="42"/>
  <c r="B111" i="42" s="1"/>
  <c r="G110" i="42"/>
  <c r="E111" i="42"/>
  <c r="J109" i="42"/>
  <c r="E110" i="38"/>
  <c r="F110" i="38" s="1"/>
  <c r="B110" i="38"/>
  <c r="I109" i="38"/>
  <c r="H109" i="38"/>
  <c r="J118" i="9"/>
  <c r="J118" i="11"/>
  <c r="J111" i="31"/>
  <c r="J108" i="37"/>
  <c r="J116" i="5"/>
  <c r="G113" i="27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D113" i="31"/>
  <c r="E113" i="31"/>
  <c r="J111" i="28"/>
  <c r="G120" i="10"/>
  <c r="D121" i="10"/>
  <c r="E121" i="10"/>
  <c r="G120" i="7"/>
  <c r="D121" i="7"/>
  <c r="E121" i="7"/>
  <c r="G109" i="37"/>
  <c r="D110" i="37"/>
  <c r="E110" i="37"/>
  <c r="G112" i="28"/>
  <c r="D113" i="28"/>
  <c r="E113" i="28"/>
  <c r="G118" i="6"/>
  <c r="D119" i="6"/>
  <c r="E119" i="6"/>
  <c r="G118" i="8"/>
  <c r="D119" i="8"/>
  <c r="E119" i="8"/>
  <c r="G119" i="9"/>
  <c r="D120" i="9"/>
  <c r="E120" i="9"/>
  <c r="G111" i="30"/>
  <c r="D112" i="30"/>
  <c r="E112" i="30"/>
  <c r="J115" i="22"/>
  <c r="J116" i="3"/>
  <c r="J107" i="40"/>
  <c r="J119" i="10"/>
  <c r="G116" i="25"/>
  <c r="D117" i="25"/>
  <c r="E117" i="25"/>
  <c r="G116" i="22"/>
  <c r="D117" i="22"/>
  <c r="E117" i="22"/>
  <c r="J117" i="8"/>
  <c r="G109" i="43"/>
  <c r="D110" i="43"/>
  <c r="E110" i="43"/>
  <c r="G112" i="29"/>
  <c r="D113" i="29"/>
  <c r="E113" i="29"/>
  <c r="G117" i="5"/>
  <c r="D118" i="5"/>
  <c r="E118" i="5"/>
  <c r="J108" i="39"/>
  <c r="G108" i="40"/>
  <c r="D109" i="40"/>
  <c r="E109" i="40"/>
  <c r="J114" i="23"/>
  <c r="J113" i="24"/>
  <c r="G117" i="4"/>
  <c r="D118" i="4"/>
  <c r="E118" i="4"/>
  <c r="G109" i="39"/>
  <c r="D110" i="39"/>
  <c r="E110" i="39"/>
  <c r="G115" i="23"/>
  <c r="D116" i="23"/>
  <c r="E116" i="23"/>
  <c r="G114" i="24"/>
  <c r="D115" i="24"/>
  <c r="E115" i="24"/>
  <c r="J112" i="27"/>
  <c r="J115" i="25"/>
  <c r="G119" i="11"/>
  <c r="D120" i="11"/>
  <c r="E120" i="11"/>
  <c r="D111" i="38" l="1"/>
  <c r="B111" i="38" s="1"/>
  <c r="G110" i="38"/>
  <c r="E111" i="38"/>
  <c r="H110" i="42"/>
  <c r="I110" i="42"/>
  <c r="J109" i="38"/>
  <c r="E111" i="41"/>
  <c r="F111" i="41" s="1"/>
  <c r="B111" i="41"/>
  <c r="F111" i="42"/>
  <c r="H110" i="41"/>
  <c r="I110" i="41"/>
  <c r="B110" i="39"/>
  <c r="F110" i="39"/>
  <c r="H117" i="4"/>
  <c r="I117" i="4"/>
  <c r="B109" i="40"/>
  <c r="F109" i="40"/>
  <c r="B118" i="5"/>
  <c r="F118" i="5"/>
  <c r="H112" i="29"/>
  <c r="I112" i="29"/>
  <c r="B112" i="30"/>
  <c r="F112" i="30"/>
  <c r="H119" i="9"/>
  <c r="I119" i="9"/>
  <c r="B113" i="28"/>
  <c r="F113" i="28"/>
  <c r="I109" i="37"/>
  <c r="H109" i="37"/>
  <c r="B118" i="3"/>
  <c r="F118" i="3"/>
  <c r="B116" i="23"/>
  <c r="F116" i="23"/>
  <c r="H109" i="39"/>
  <c r="I109" i="39"/>
  <c r="I108" i="40"/>
  <c r="H108" i="40"/>
  <c r="H117" i="5"/>
  <c r="I117" i="5"/>
  <c r="B117" i="25"/>
  <c r="F117" i="25"/>
  <c r="H111" i="30"/>
  <c r="I111" i="30"/>
  <c r="B119" i="6"/>
  <c r="F119" i="6"/>
  <c r="H112" i="28"/>
  <c r="I112" i="28"/>
  <c r="B121" i="10"/>
  <c r="F121" i="10"/>
  <c r="B113" i="31"/>
  <c r="F113" i="31"/>
  <c r="I117" i="3"/>
  <c r="H117" i="3"/>
  <c r="B114" i="27"/>
  <c r="F114" i="27"/>
  <c r="B120" i="11"/>
  <c r="F120" i="11"/>
  <c r="H119" i="11"/>
  <c r="I119" i="11"/>
  <c r="B115" i="24"/>
  <c r="F115" i="24"/>
  <c r="H115" i="23"/>
  <c r="I115" i="23"/>
  <c r="B110" i="43"/>
  <c r="F110" i="43"/>
  <c r="B117" i="22"/>
  <c r="F117" i="22"/>
  <c r="H116" i="25"/>
  <c r="I116" i="25"/>
  <c r="B119" i="8"/>
  <c r="F119" i="8"/>
  <c r="H118" i="6"/>
  <c r="I118" i="6"/>
  <c r="B121" i="7"/>
  <c r="F121" i="7"/>
  <c r="H120" i="10"/>
  <c r="I120" i="10"/>
  <c r="I112" i="31"/>
  <c r="H112" i="31"/>
  <c r="H113" i="27"/>
  <c r="I113" i="27"/>
  <c r="H114" i="24"/>
  <c r="I114" i="24"/>
  <c r="B118" i="4"/>
  <c r="F118" i="4"/>
  <c r="B113" i="29"/>
  <c r="F113" i="29"/>
  <c r="H109" i="43"/>
  <c r="I109" i="43"/>
  <c r="H116" i="22"/>
  <c r="I116" i="22"/>
  <c r="B120" i="9"/>
  <c r="F120" i="9"/>
  <c r="H118" i="8"/>
  <c r="I118" i="8"/>
  <c r="B110" i="37"/>
  <c r="F110" i="37"/>
  <c r="H120" i="7"/>
  <c r="I120" i="7"/>
  <c r="J110" i="41" l="1"/>
  <c r="F111" i="38"/>
  <c r="D112" i="38" s="1"/>
  <c r="B112" i="38" s="1"/>
  <c r="D112" i="41"/>
  <c r="G111" i="41"/>
  <c r="G111" i="42"/>
  <c r="D112" i="42"/>
  <c r="B112" i="42" s="1"/>
  <c r="E112" i="42"/>
  <c r="I110" i="38"/>
  <c r="H110" i="38"/>
  <c r="J110" i="42"/>
  <c r="J117" i="4"/>
  <c r="J108" i="40"/>
  <c r="J117" i="3"/>
  <c r="J109" i="37"/>
  <c r="J112" i="31"/>
  <c r="J120" i="7"/>
  <c r="J118" i="8"/>
  <c r="J116" i="22"/>
  <c r="G113" i="29"/>
  <c r="D114" i="29"/>
  <c r="E114" i="29"/>
  <c r="J114" i="24"/>
  <c r="G121" i="7"/>
  <c r="D122" i="7"/>
  <c r="E122" i="7"/>
  <c r="G119" i="8"/>
  <c r="D120" i="8"/>
  <c r="E120" i="8"/>
  <c r="G117" i="22"/>
  <c r="D118" i="22"/>
  <c r="E118" i="22"/>
  <c r="J115" i="23"/>
  <c r="J119" i="11"/>
  <c r="G114" i="27"/>
  <c r="D115" i="27"/>
  <c r="E115" i="27"/>
  <c r="G113" i="31"/>
  <c r="D114" i="31"/>
  <c r="E114" i="31"/>
  <c r="J112" i="28"/>
  <c r="J111" i="30"/>
  <c r="J117" i="5"/>
  <c r="J109" i="39"/>
  <c r="G118" i="3"/>
  <c r="D119" i="3"/>
  <c r="E119" i="3"/>
  <c r="G113" i="28"/>
  <c r="D114" i="28"/>
  <c r="E114" i="28"/>
  <c r="G112" i="30"/>
  <c r="D113" i="30"/>
  <c r="E113" i="30"/>
  <c r="G118" i="5"/>
  <c r="D119" i="5"/>
  <c r="E119" i="5"/>
  <c r="G110" i="37"/>
  <c r="D111" i="37"/>
  <c r="E111" i="37"/>
  <c r="G120" i="9"/>
  <c r="D121" i="9"/>
  <c r="E121" i="9"/>
  <c r="J109" i="43"/>
  <c r="G118" i="4"/>
  <c r="D119" i="4"/>
  <c r="E119" i="4"/>
  <c r="J113" i="27"/>
  <c r="J120" i="10"/>
  <c r="J118" i="6"/>
  <c r="J116" i="25"/>
  <c r="G110" i="43"/>
  <c r="D111" i="43"/>
  <c r="E111" i="43"/>
  <c r="G115" i="24"/>
  <c r="D116" i="24"/>
  <c r="E116" i="24"/>
  <c r="G120" i="11"/>
  <c r="D121" i="11"/>
  <c r="E121" i="11"/>
  <c r="G121" i="10"/>
  <c r="D122" i="10"/>
  <c r="E122" i="10"/>
  <c r="G119" i="6"/>
  <c r="D120" i="6"/>
  <c r="E120" i="6"/>
  <c r="G117" i="25"/>
  <c r="D118" i="25"/>
  <c r="E118" i="25"/>
  <c r="G116" i="23"/>
  <c r="D117" i="23"/>
  <c r="E117" i="23"/>
  <c r="J119" i="9"/>
  <c r="J112" i="29"/>
  <c r="G109" i="40"/>
  <c r="D110" i="40"/>
  <c r="E110" i="40"/>
  <c r="G110" i="39"/>
  <c r="D111" i="39"/>
  <c r="E111" i="39"/>
  <c r="E112" i="38" l="1"/>
  <c r="G111" i="38"/>
  <c r="H111" i="38" s="1"/>
  <c r="F112" i="42"/>
  <c r="I111" i="38"/>
  <c r="I111" i="42"/>
  <c r="H111" i="42"/>
  <c r="I111" i="41"/>
  <c r="H111" i="41"/>
  <c r="J110" i="38"/>
  <c r="F112" i="38"/>
  <c r="E112" i="41"/>
  <c r="F112" i="41" s="1"/>
  <c r="B112" i="41"/>
  <c r="B120" i="6"/>
  <c r="F120" i="6"/>
  <c r="I121" i="10"/>
  <c r="H121" i="10"/>
  <c r="B111" i="43"/>
  <c r="F111" i="43"/>
  <c r="I118" i="4"/>
  <c r="H118" i="4"/>
  <c r="I120" i="9"/>
  <c r="H120" i="9"/>
  <c r="B113" i="30"/>
  <c r="F113" i="30"/>
  <c r="H113" i="28"/>
  <c r="I113" i="28"/>
  <c r="B115" i="27"/>
  <c r="F115" i="27"/>
  <c r="B120" i="8"/>
  <c r="F120" i="8"/>
  <c r="H121" i="7"/>
  <c r="I121" i="7"/>
  <c r="H113" i="29"/>
  <c r="I113" i="29"/>
  <c r="H110" i="39"/>
  <c r="I110" i="39"/>
  <c r="B110" i="40"/>
  <c r="F110" i="40"/>
  <c r="B118" i="25"/>
  <c r="F118" i="25"/>
  <c r="H119" i="6"/>
  <c r="I119" i="6"/>
  <c r="B116" i="24"/>
  <c r="F116" i="24"/>
  <c r="I110" i="43"/>
  <c r="H110" i="43"/>
  <c r="B119" i="5"/>
  <c r="F119" i="5"/>
  <c r="H112" i="30"/>
  <c r="I112" i="30"/>
  <c r="B114" i="31"/>
  <c r="F114" i="31"/>
  <c r="I114" i="27"/>
  <c r="H114" i="27"/>
  <c r="B118" i="22"/>
  <c r="F118" i="22"/>
  <c r="H119" i="8"/>
  <c r="I119" i="8"/>
  <c r="B111" i="39"/>
  <c r="F111" i="39"/>
  <c r="H109" i="40"/>
  <c r="I109" i="40"/>
  <c r="B117" i="23"/>
  <c r="F117" i="23"/>
  <c r="H117" i="25"/>
  <c r="I117" i="25"/>
  <c r="B121" i="11"/>
  <c r="F121" i="11"/>
  <c r="H115" i="24"/>
  <c r="I115" i="24"/>
  <c r="B111" i="37"/>
  <c r="F111" i="37"/>
  <c r="H118" i="5"/>
  <c r="I118" i="5"/>
  <c r="B119" i="3"/>
  <c r="F119" i="3"/>
  <c r="H113" i="31"/>
  <c r="I113" i="31"/>
  <c r="H117" i="22"/>
  <c r="I117" i="22"/>
  <c r="I116" i="23"/>
  <c r="H116" i="23"/>
  <c r="B122" i="10"/>
  <c r="F122" i="10"/>
  <c r="I120" i="11"/>
  <c r="H120" i="11"/>
  <c r="B119" i="4"/>
  <c r="F119" i="4"/>
  <c r="B121" i="9"/>
  <c r="F121" i="9"/>
  <c r="H110" i="37"/>
  <c r="I110" i="37"/>
  <c r="B114" i="28"/>
  <c r="F114" i="28"/>
  <c r="I118" i="3"/>
  <c r="H118" i="3"/>
  <c r="B122" i="7"/>
  <c r="F122" i="7"/>
  <c r="B114" i="29"/>
  <c r="F114" i="29"/>
  <c r="J111" i="42" l="1"/>
  <c r="D113" i="41"/>
  <c r="G112" i="41"/>
  <c r="J111" i="41"/>
  <c r="J111" i="38"/>
  <c r="J114" i="27"/>
  <c r="D113" i="38"/>
  <c r="B113" i="38" s="1"/>
  <c r="G112" i="38"/>
  <c r="E113" i="38"/>
  <c r="D113" i="42"/>
  <c r="B113" i="42" s="1"/>
  <c r="G112" i="42"/>
  <c r="E113" i="42"/>
  <c r="F113" i="42" s="1"/>
  <c r="J110" i="43"/>
  <c r="J120" i="9"/>
  <c r="J113" i="31"/>
  <c r="J118" i="5"/>
  <c r="J118" i="3"/>
  <c r="G114" i="28"/>
  <c r="D115" i="28"/>
  <c r="E115" i="28"/>
  <c r="J120" i="11"/>
  <c r="G114" i="29"/>
  <c r="D115" i="29"/>
  <c r="E115" i="29"/>
  <c r="J110" i="37"/>
  <c r="G119" i="4"/>
  <c r="D120" i="4"/>
  <c r="E120" i="4"/>
  <c r="G122" i="10"/>
  <c r="D123" i="10"/>
  <c r="E123" i="10"/>
  <c r="J117" i="22"/>
  <c r="G119" i="3"/>
  <c r="D120" i="3"/>
  <c r="E120" i="3"/>
  <c r="G111" i="37"/>
  <c r="D112" i="37"/>
  <c r="E112" i="37"/>
  <c r="G121" i="11"/>
  <c r="D122" i="11"/>
  <c r="E122" i="11"/>
  <c r="G117" i="23"/>
  <c r="D118" i="23"/>
  <c r="E118" i="23"/>
  <c r="G111" i="39"/>
  <c r="D112" i="39"/>
  <c r="E112" i="39"/>
  <c r="G118" i="22"/>
  <c r="D119" i="22"/>
  <c r="E119" i="22"/>
  <c r="G114" i="31"/>
  <c r="D115" i="31"/>
  <c r="E115" i="31"/>
  <c r="G119" i="5"/>
  <c r="D120" i="5"/>
  <c r="E120" i="5"/>
  <c r="G116" i="24"/>
  <c r="D117" i="24"/>
  <c r="E117" i="24"/>
  <c r="G118" i="25"/>
  <c r="D119" i="25"/>
  <c r="E119" i="25"/>
  <c r="J110" i="39"/>
  <c r="J121" i="7"/>
  <c r="G115" i="27"/>
  <c r="D116" i="27"/>
  <c r="E116" i="27"/>
  <c r="G113" i="30"/>
  <c r="D114" i="30"/>
  <c r="E114" i="30"/>
  <c r="J118" i="4"/>
  <c r="J121" i="10"/>
  <c r="G122" i="7"/>
  <c r="D123" i="7"/>
  <c r="E123" i="7"/>
  <c r="G121" i="9"/>
  <c r="D122" i="9"/>
  <c r="E122" i="9"/>
  <c r="J115" i="24"/>
  <c r="J117" i="25"/>
  <c r="J109" i="40"/>
  <c r="J119" i="8"/>
  <c r="J112" i="30"/>
  <c r="J119" i="6"/>
  <c r="G110" i="40"/>
  <c r="D111" i="40"/>
  <c r="E111" i="40"/>
  <c r="J113" i="29"/>
  <c r="G120" i="8"/>
  <c r="D121" i="8"/>
  <c r="E121" i="8"/>
  <c r="J113" i="28"/>
  <c r="G111" i="43"/>
  <c r="D112" i="43"/>
  <c r="E112" i="43"/>
  <c r="G120" i="6"/>
  <c r="D121" i="6"/>
  <c r="E121" i="6"/>
  <c r="J116" i="23"/>
  <c r="F113" i="38" l="1"/>
  <c r="G113" i="38"/>
  <c r="D114" i="38"/>
  <c r="D114" i="42"/>
  <c r="G113" i="42"/>
  <c r="H112" i="38"/>
  <c r="I112" i="38"/>
  <c r="H112" i="42"/>
  <c r="I112" i="42"/>
  <c r="I112" i="41"/>
  <c r="H112" i="41"/>
  <c r="E113" i="41"/>
  <c r="F113" i="41" s="1"/>
  <c r="B113" i="41"/>
  <c r="B121" i="6"/>
  <c r="F121" i="6"/>
  <c r="H111" i="43"/>
  <c r="I111" i="43"/>
  <c r="H120" i="8"/>
  <c r="I120" i="8"/>
  <c r="H110" i="40"/>
  <c r="I110" i="40"/>
  <c r="B122" i="9"/>
  <c r="F122" i="9"/>
  <c r="H122" i="7"/>
  <c r="I122" i="7"/>
  <c r="B114" i="30"/>
  <c r="F114" i="30"/>
  <c r="H115" i="27"/>
  <c r="I115" i="27"/>
  <c r="B119" i="25"/>
  <c r="F119" i="25"/>
  <c r="I116" i="24"/>
  <c r="H116" i="24"/>
  <c r="B119" i="22"/>
  <c r="F119" i="22"/>
  <c r="H111" i="39"/>
  <c r="I111" i="39"/>
  <c r="B112" i="37"/>
  <c r="F112" i="37"/>
  <c r="H119" i="3"/>
  <c r="I119" i="3"/>
  <c r="H122" i="10"/>
  <c r="I122" i="10"/>
  <c r="B112" i="43"/>
  <c r="F112" i="43"/>
  <c r="H120" i="6"/>
  <c r="I120" i="6"/>
  <c r="H121" i="9"/>
  <c r="I121" i="9"/>
  <c r="I113" i="30"/>
  <c r="H113" i="30"/>
  <c r="H118" i="25"/>
  <c r="I118" i="25"/>
  <c r="B115" i="31"/>
  <c r="F115" i="31"/>
  <c r="I118" i="22"/>
  <c r="H118" i="22"/>
  <c r="B122" i="11"/>
  <c r="F122" i="11"/>
  <c r="H111" i="37"/>
  <c r="I111" i="37"/>
  <c r="B120" i="5"/>
  <c r="F120" i="5"/>
  <c r="I114" i="31"/>
  <c r="H114" i="31"/>
  <c r="B118" i="23"/>
  <c r="F118" i="23"/>
  <c r="H121" i="11"/>
  <c r="I121" i="11"/>
  <c r="B120" i="4"/>
  <c r="F120" i="4"/>
  <c r="B115" i="29"/>
  <c r="F115" i="29"/>
  <c r="B115" i="28"/>
  <c r="F115" i="28"/>
  <c r="B121" i="8"/>
  <c r="F121" i="8"/>
  <c r="B111" i="40"/>
  <c r="F111" i="40"/>
  <c r="B123" i="7"/>
  <c r="F123" i="7"/>
  <c r="B116" i="27"/>
  <c r="F116" i="27"/>
  <c r="B117" i="24"/>
  <c r="F117" i="24"/>
  <c r="I119" i="5"/>
  <c r="H119" i="5"/>
  <c r="B112" i="39"/>
  <c r="F112" i="39"/>
  <c r="H117" i="23"/>
  <c r="I117" i="23"/>
  <c r="B120" i="3"/>
  <c r="F120" i="3"/>
  <c r="B123" i="10"/>
  <c r="F123" i="10"/>
  <c r="H119" i="4"/>
  <c r="I119" i="4"/>
  <c r="I114" i="29"/>
  <c r="H114" i="29"/>
  <c r="H114" i="28"/>
  <c r="I114" i="28"/>
  <c r="J112" i="42" l="1"/>
  <c r="J112" i="38"/>
  <c r="G113" i="41"/>
  <c r="D114" i="41"/>
  <c r="H113" i="42"/>
  <c r="I113" i="42"/>
  <c r="E114" i="42"/>
  <c r="F114" i="42" s="1"/>
  <c r="B114" i="42"/>
  <c r="E114" i="38"/>
  <c r="F114" i="38" s="1"/>
  <c r="B114" i="38"/>
  <c r="J112" i="41"/>
  <c r="I113" i="38"/>
  <c r="H113" i="38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D113" i="39"/>
  <c r="E113" i="39"/>
  <c r="G117" i="24"/>
  <c r="D118" i="24"/>
  <c r="E118" i="24"/>
  <c r="G123" i="7"/>
  <c r="D124" i="7"/>
  <c r="E124" i="7"/>
  <c r="G121" i="8"/>
  <c r="D122" i="8"/>
  <c r="E122" i="8"/>
  <c r="G115" i="29"/>
  <c r="D116" i="29"/>
  <c r="E116" i="29"/>
  <c r="J121" i="9"/>
  <c r="G112" i="43"/>
  <c r="D113" i="43"/>
  <c r="E113" i="43"/>
  <c r="J114" i="31"/>
  <c r="J118" i="22"/>
  <c r="J116" i="24"/>
  <c r="G123" i="10"/>
  <c r="D124" i="10"/>
  <c r="E124" i="10"/>
  <c r="J117" i="23"/>
  <c r="G116" i="27"/>
  <c r="D117" i="27"/>
  <c r="E117" i="27"/>
  <c r="G111" i="40"/>
  <c r="D112" i="40"/>
  <c r="E112" i="40"/>
  <c r="G115" i="28"/>
  <c r="D116" i="28"/>
  <c r="E116" i="28"/>
  <c r="G120" i="4"/>
  <c r="D121" i="4"/>
  <c r="E121" i="4"/>
  <c r="G118" i="23"/>
  <c r="D119" i="23"/>
  <c r="E119" i="23"/>
  <c r="G120" i="5"/>
  <c r="D121" i="5"/>
  <c r="E121" i="5"/>
  <c r="G122" i="11"/>
  <c r="D123" i="11"/>
  <c r="E123" i="11"/>
  <c r="G115" i="31"/>
  <c r="D116" i="31"/>
  <c r="E116" i="31"/>
  <c r="J120" i="6"/>
  <c r="J122" i="10"/>
  <c r="G112" i="37"/>
  <c r="D113" i="37"/>
  <c r="E113" i="37"/>
  <c r="G119" i="22"/>
  <c r="D120" i="22"/>
  <c r="E120" i="22"/>
  <c r="G119" i="25"/>
  <c r="D120" i="25"/>
  <c r="E120" i="25"/>
  <c r="G114" i="30"/>
  <c r="D115" i="30"/>
  <c r="E115" i="30"/>
  <c r="G122" i="9"/>
  <c r="D123" i="9"/>
  <c r="E123" i="9"/>
  <c r="G121" i="6"/>
  <c r="D122" i="6"/>
  <c r="E122" i="6"/>
  <c r="J113" i="38" l="1"/>
  <c r="D115" i="38"/>
  <c r="G114" i="38"/>
  <c r="J113" i="42"/>
  <c r="D115" i="42"/>
  <c r="B115" i="42" s="1"/>
  <c r="G114" i="42"/>
  <c r="E115" i="42"/>
  <c r="E114" i="41"/>
  <c r="F114" i="41" s="1"/>
  <c r="B114" i="41"/>
  <c r="H113" i="41"/>
  <c r="I113" i="41"/>
  <c r="J113" i="41" s="1"/>
  <c r="B115" i="30"/>
  <c r="F115" i="30"/>
  <c r="I119" i="25"/>
  <c r="H119" i="25"/>
  <c r="B121" i="5"/>
  <c r="F121" i="5"/>
  <c r="H118" i="23"/>
  <c r="I118" i="23"/>
  <c r="B112" i="40"/>
  <c r="F112" i="40"/>
  <c r="H116" i="27"/>
  <c r="I116" i="27"/>
  <c r="H123" i="10"/>
  <c r="I123" i="10"/>
  <c r="B122" i="8"/>
  <c r="F122" i="8"/>
  <c r="H123" i="7"/>
  <c r="I123" i="7"/>
  <c r="B121" i="3"/>
  <c r="F121" i="3"/>
  <c r="B123" i="9"/>
  <c r="F123" i="9"/>
  <c r="H114" i="30"/>
  <c r="I114" i="30"/>
  <c r="B113" i="37"/>
  <c r="F113" i="37"/>
  <c r="B123" i="11"/>
  <c r="F123" i="11"/>
  <c r="I120" i="5"/>
  <c r="H120" i="5"/>
  <c r="B116" i="28"/>
  <c r="F116" i="28"/>
  <c r="H111" i="40"/>
  <c r="I111" i="40"/>
  <c r="B113" i="43"/>
  <c r="F113" i="43"/>
  <c r="B116" i="29"/>
  <c r="F116" i="29"/>
  <c r="H121" i="8"/>
  <c r="I121" i="8"/>
  <c r="B113" i="39"/>
  <c r="F113" i="39"/>
  <c r="H120" i="3"/>
  <c r="I120" i="3"/>
  <c r="B120" i="22"/>
  <c r="F120" i="22"/>
  <c r="H112" i="37"/>
  <c r="I112" i="37"/>
  <c r="B116" i="31"/>
  <c r="F116" i="31"/>
  <c r="H122" i="11"/>
  <c r="I122" i="11"/>
  <c r="B121" i="4"/>
  <c r="F121" i="4"/>
  <c r="H115" i="28"/>
  <c r="I115" i="28"/>
  <c r="I112" i="43"/>
  <c r="H112" i="43"/>
  <c r="I115" i="29"/>
  <c r="H115" i="29"/>
  <c r="B118" i="24"/>
  <c r="F118" i="24"/>
  <c r="H112" i="39"/>
  <c r="I112" i="39"/>
  <c r="B122" i="6"/>
  <c r="F122" i="6"/>
  <c r="I122" i="9"/>
  <c r="H122" i="9"/>
  <c r="H121" i="6"/>
  <c r="I121" i="6"/>
  <c r="B120" i="25"/>
  <c r="F120" i="25"/>
  <c r="H119" i="22"/>
  <c r="I119" i="22"/>
  <c r="H115" i="31"/>
  <c r="I115" i="31"/>
  <c r="B119" i="23"/>
  <c r="F119" i="23"/>
  <c r="H120" i="4"/>
  <c r="I120" i="4"/>
  <c r="B117" i="27"/>
  <c r="F117" i="27"/>
  <c r="B124" i="10"/>
  <c r="F124" i="10"/>
  <c r="B124" i="7"/>
  <c r="F124" i="7"/>
  <c r="H117" i="24"/>
  <c r="I117" i="24"/>
  <c r="G114" i="41" l="1"/>
  <c r="D115" i="41"/>
  <c r="F115" i="42"/>
  <c r="I114" i="38"/>
  <c r="J114" i="38" s="1"/>
  <c r="H114" i="38"/>
  <c r="I114" i="42"/>
  <c r="H114" i="42"/>
  <c r="E115" i="38"/>
  <c r="F115" i="38" s="1"/>
  <c r="B115" i="38"/>
  <c r="J112" i="43"/>
  <c r="J120" i="5"/>
  <c r="J116" i="27"/>
  <c r="J117" i="24"/>
  <c r="J120" i="4"/>
  <c r="J119" i="25"/>
  <c r="J122" i="9"/>
  <c r="J115" i="29"/>
  <c r="G124" i="10"/>
  <c r="D125" i="10"/>
  <c r="E125" i="10"/>
  <c r="J115" i="31"/>
  <c r="G120" i="25"/>
  <c r="D121" i="25"/>
  <c r="E121" i="25"/>
  <c r="J112" i="39"/>
  <c r="J115" i="28"/>
  <c r="J122" i="11"/>
  <c r="J112" i="37"/>
  <c r="J120" i="3"/>
  <c r="J121" i="8"/>
  <c r="G113" i="43"/>
  <c r="D114" i="43"/>
  <c r="E114" i="43"/>
  <c r="G116" i="28"/>
  <c r="D117" i="28"/>
  <c r="E117" i="28"/>
  <c r="G123" i="11"/>
  <c r="D124" i="11"/>
  <c r="E124" i="11"/>
  <c r="J114" i="30"/>
  <c r="G121" i="3"/>
  <c r="D122" i="3"/>
  <c r="E122" i="3"/>
  <c r="G122" i="8"/>
  <c r="D123" i="8"/>
  <c r="E123" i="8"/>
  <c r="J118" i="23"/>
  <c r="G124" i="7"/>
  <c r="D125" i="7"/>
  <c r="E125" i="7"/>
  <c r="G117" i="27"/>
  <c r="D118" i="27"/>
  <c r="E118" i="27"/>
  <c r="G119" i="23"/>
  <c r="D120" i="23"/>
  <c r="E120" i="23"/>
  <c r="J119" i="22"/>
  <c r="J121" i="6"/>
  <c r="G122" i="6"/>
  <c r="D123" i="6"/>
  <c r="E123" i="6"/>
  <c r="G118" i="24"/>
  <c r="D119" i="24"/>
  <c r="E119" i="24"/>
  <c r="G121" i="4"/>
  <c r="D122" i="4"/>
  <c r="E122" i="4"/>
  <c r="G116" i="31"/>
  <c r="D117" i="31"/>
  <c r="E117" i="31"/>
  <c r="G120" i="22"/>
  <c r="D121" i="22"/>
  <c r="E121" i="22"/>
  <c r="G113" i="39"/>
  <c r="D114" i="39"/>
  <c r="E114" i="39"/>
  <c r="G116" i="29"/>
  <c r="D117" i="29"/>
  <c r="E117" i="29"/>
  <c r="J111" i="40"/>
  <c r="G113" i="37"/>
  <c r="D114" i="37"/>
  <c r="E114" i="37"/>
  <c r="G123" i="9"/>
  <c r="D124" i="9"/>
  <c r="E124" i="9"/>
  <c r="J123" i="7"/>
  <c r="J123" i="10"/>
  <c r="G112" i="40"/>
  <c r="D113" i="40"/>
  <c r="E113" i="40"/>
  <c r="G121" i="5"/>
  <c r="D122" i="5"/>
  <c r="E122" i="5"/>
  <c r="G115" i="30"/>
  <c r="D116" i="30"/>
  <c r="E116" i="30"/>
  <c r="D116" i="38" l="1"/>
  <c r="G115" i="38"/>
  <c r="G115" i="42"/>
  <c r="D116" i="42"/>
  <c r="B116" i="42" s="1"/>
  <c r="E116" i="42"/>
  <c r="J114" i="42"/>
  <c r="E115" i="41"/>
  <c r="F115" i="41" s="1"/>
  <c r="B115" i="41"/>
  <c r="I114" i="41"/>
  <c r="H114" i="41"/>
  <c r="B116" i="30"/>
  <c r="F116" i="30"/>
  <c r="B122" i="5"/>
  <c r="F122" i="5"/>
  <c r="H112" i="40"/>
  <c r="I112" i="40"/>
  <c r="B124" i="9"/>
  <c r="F124" i="9"/>
  <c r="H113" i="37"/>
  <c r="I113" i="37"/>
  <c r="H116" i="29"/>
  <c r="I116" i="29"/>
  <c r="B117" i="31"/>
  <c r="F117" i="31"/>
  <c r="H121" i="4"/>
  <c r="I121" i="4"/>
  <c r="B125" i="7"/>
  <c r="F125" i="7"/>
  <c r="B123" i="8"/>
  <c r="F123" i="8"/>
  <c r="H121" i="3"/>
  <c r="I121" i="3"/>
  <c r="H123" i="11"/>
  <c r="I123" i="11"/>
  <c r="H121" i="5"/>
  <c r="I121" i="5"/>
  <c r="I123" i="9"/>
  <c r="H123" i="9"/>
  <c r="B121" i="22"/>
  <c r="F121" i="22"/>
  <c r="H116" i="31"/>
  <c r="I116" i="31"/>
  <c r="B123" i="6"/>
  <c r="F123" i="6"/>
  <c r="B118" i="27"/>
  <c r="F118" i="27"/>
  <c r="H124" i="7"/>
  <c r="I124" i="7"/>
  <c r="H122" i="8"/>
  <c r="I122" i="8"/>
  <c r="B114" i="43"/>
  <c r="F114" i="43"/>
  <c r="H115" i="30"/>
  <c r="I115" i="30"/>
  <c r="B114" i="39"/>
  <c r="F114" i="39"/>
  <c r="H120" i="22"/>
  <c r="I120" i="22"/>
  <c r="B119" i="24"/>
  <c r="F119" i="24"/>
  <c r="H122" i="6"/>
  <c r="I122" i="6"/>
  <c r="B120" i="23"/>
  <c r="F120" i="23"/>
  <c r="H117" i="27"/>
  <c r="I117" i="27"/>
  <c r="B117" i="28"/>
  <c r="F117" i="28"/>
  <c r="I113" i="43"/>
  <c r="H113" i="43"/>
  <c r="B121" i="25"/>
  <c r="F121" i="25"/>
  <c r="B125" i="10"/>
  <c r="F125" i="10"/>
  <c r="B113" i="40"/>
  <c r="F113" i="40"/>
  <c r="B114" i="37"/>
  <c r="F114" i="37"/>
  <c r="B117" i="29"/>
  <c r="F117" i="29"/>
  <c r="H113" i="39"/>
  <c r="I113" i="39"/>
  <c r="B122" i="4"/>
  <c r="F122" i="4"/>
  <c r="I118" i="24"/>
  <c r="H118" i="24"/>
  <c r="H119" i="23"/>
  <c r="I119" i="23"/>
  <c r="B122" i="3"/>
  <c r="F122" i="3"/>
  <c r="B124" i="11"/>
  <c r="F124" i="11"/>
  <c r="I116" i="28"/>
  <c r="H116" i="28"/>
  <c r="H120" i="25"/>
  <c r="I120" i="25"/>
  <c r="I124" i="10"/>
  <c r="H124" i="10"/>
  <c r="D116" i="41" l="1"/>
  <c r="B116" i="41" s="1"/>
  <c r="G115" i="41"/>
  <c r="E116" i="41"/>
  <c r="F116" i="41" s="1"/>
  <c r="H115" i="42"/>
  <c r="I115" i="42"/>
  <c r="J114" i="41"/>
  <c r="H115" i="38"/>
  <c r="I115" i="38"/>
  <c r="F116" i="42"/>
  <c r="E116" i="38"/>
  <c r="B116" i="38"/>
  <c r="F116" i="38"/>
  <c r="J123" i="9"/>
  <c r="J124" i="10"/>
  <c r="J116" i="28"/>
  <c r="J118" i="24"/>
  <c r="J113" i="43"/>
  <c r="G122" i="3"/>
  <c r="D123" i="3"/>
  <c r="E123" i="3"/>
  <c r="J113" i="39"/>
  <c r="G114" i="37"/>
  <c r="D115" i="37"/>
  <c r="E115" i="37"/>
  <c r="G125" i="10"/>
  <c r="D126" i="10"/>
  <c r="E126" i="10"/>
  <c r="J117" i="27"/>
  <c r="J122" i="6"/>
  <c r="J120" i="22"/>
  <c r="J115" i="30"/>
  <c r="J122" i="8"/>
  <c r="G118" i="27"/>
  <c r="D119" i="27"/>
  <c r="E119" i="27"/>
  <c r="J116" i="31"/>
  <c r="J123" i="11"/>
  <c r="G123" i="8"/>
  <c r="D124" i="8"/>
  <c r="E124" i="8"/>
  <c r="J121" i="4"/>
  <c r="J116" i="29"/>
  <c r="G124" i="9"/>
  <c r="D125" i="9"/>
  <c r="E125" i="9"/>
  <c r="G122" i="5"/>
  <c r="D123" i="5"/>
  <c r="E123" i="5"/>
  <c r="J120" i="25"/>
  <c r="G124" i="11"/>
  <c r="D125" i="11"/>
  <c r="E125" i="11"/>
  <c r="J119" i="23"/>
  <c r="G122" i="4"/>
  <c r="D123" i="4"/>
  <c r="E123" i="4"/>
  <c r="G117" i="29"/>
  <c r="D118" i="29"/>
  <c r="E118" i="29"/>
  <c r="G113" i="40"/>
  <c r="D114" i="40"/>
  <c r="E114" i="40"/>
  <c r="G121" i="25"/>
  <c r="D122" i="25"/>
  <c r="E122" i="25"/>
  <c r="G117" i="28"/>
  <c r="D118" i="28"/>
  <c r="E118" i="28"/>
  <c r="G120" i="23"/>
  <c r="D121" i="23"/>
  <c r="E121" i="23"/>
  <c r="G119" i="24"/>
  <c r="D120" i="24"/>
  <c r="E120" i="24"/>
  <c r="G114" i="39"/>
  <c r="D115" i="39"/>
  <c r="E115" i="39"/>
  <c r="G114" i="43"/>
  <c r="D115" i="43"/>
  <c r="E115" i="43"/>
  <c r="J124" i="7"/>
  <c r="G123" i="6"/>
  <c r="D124" i="6"/>
  <c r="E124" i="6"/>
  <c r="G121" i="22"/>
  <c r="D122" i="22"/>
  <c r="E122" i="22"/>
  <c r="J121" i="5"/>
  <c r="J121" i="3"/>
  <c r="G125" i="7"/>
  <c r="D126" i="7"/>
  <c r="E126" i="7"/>
  <c r="G117" i="31"/>
  <c r="D118" i="31"/>
  <c r="E118" i="31"/>
  <c r="J113" i="37"/>
  <c r="J112" i="40"/>
  <c r="G116" i="30"/>
  <c r="D117" i="30"/>
  <c r="E117" i="30"/>
  <c r="D117" i="38" l="1"/>
  <c r="G116" i="38"/>
  <c r="J115" i="38"/>
  <c r="G116" i="41"/>
  <c r="D117" i="41"/>
  <c r="I115" i="41"/>
  <c r="H115" i="41"/>
  <c r="G116" i="42"/>
  <c r="D117" i="42"/>
  <c r="J115" i="42"/>
  <c r="B126" i="7"/>
  <c r="F126" i="7"/>
  <c r="B115" i="43"/>
  <c r="F115" i="43"/>
  <c r="H116" i="30"/>
  <c r="I116" i="30"/>
  <c r="B122" i="22"/>
  <c r="F122" i="22"/>
  <c r="H114" i="43"/>
  <c r="I114" i="43"/>
  <c r="H117" i="31"/>
  <c r="I117" i="31"/>
  <c r="I121" i="22"/>
  <c r="H121" i="22"/>
  <c r="B120" i="24"/>
  <c r="F120" i="24"/>
  <c r="H120" i="23"/>
  <c r="I120" i="23"/>
  <c r="B114" i="40"/>
  <c r="F114" i="40"/>
  <c r="H117" i="29"/>
  <c r="I117" i="29"/>
  <c r="I118" i="27"/>
  <c r="H118" i="27"/>
  <c r="I125" i="10"/>
  <c r="H125" i="10"/>
  <c r="B115" i="39"/>
  <c r="F115" i="39"/>
  <c r="H119" i="24"/>
  <c r="I119" i="24"/>
  <c r="B122" i="25"/>
  <c r="F122" i="25"/>
  <c r="H113" i="40"/>
  <c r="I113" i="40"/>
  <c r="B125" i="9"/>
  <c r="F125" i="9"/>
  <c r="B117" i="30"/>
  <c r="F117" i="30"/>
  <c r="B124" i="6"/>
  <c r="F124" i="6"/>
  <c r="H114" i="39"/>
  <c r="I114" i="39"/>
  <c r="B118" i="28"/>
  <c r="F118" i="28"/>
  <c r="I121" i="25"/>
  <c r="H121" i="25"/>
  <c r="B123" i="4"/>
  <c r="F123" i="4"/>
  <c r="B125" i="11"/>
  <c r="F125" i="11"/>
  <c r="B123" i="5"/>
  <c r="F123" i="5"/>
  <c r="H124" i="9"/>
  <c r="I124" i="9"/>
  <c r="B124" i="8"/>
  <c r="F124" i="8"/>
  <c r="B115" i="37"/>
  <c r="F115" i="37"/>
  <c r="B123" i="3"/>
  <c r="F123" i="3"/>
  <c r="B118" i="31"/>
  <c r="F118" i="31"/>
  <c r="I125" i="7"/>
  <c r="H125" i="7"/>
  <c r="I123" i="6"/>
  <c r="H123" i="6"/>
  <c r="B121" i="23"/>
  <c r="F121" i="23"/>
  <c r="H117" i="28"/>
  <c r="I117" i="28"/>
  <c r="B118" i="29"/>
  <c r="F118" i="29"/>
  <c r="H122" i="4"/>
  <c r="I122" i="4"/>
  <c r="H124" i="11"/>
  <c r="I124" i="11"/>
  <c r="H122" i="5"/>
  <c r="I122" i="5"/>
  <c r="H123" i="8"/>
  <c r="I123" i="8"/>
  <c r="B119" i="27"/>
  <c r="F119" i="27"/>
  <c r="B126" i="10"/>
  <c r="F126" i="10"/>
  <c r="H114" i="37"/>
  <c r="I114" i="37"/>
  <c r="H122" i="3"/>
  <c r="I122" i="3"/>
  <c r="H116" i="42" l="1"/>
  <c r="I116" i="42"/>
  <c r="J116" i="42" s="1"/>
  <c r="I116" i="41"/>
  <c r="H116" i="41"/>
  <c r="J115" i="41"/>
  <c r="H116" i="38"/>
  <c r="I116" i="38"/>
  <c r="J116" i="38" s="1"/>
  <c r="E117" i="42"/>
  <c r="F117" i="42" s="1"/>
  <c r="B117" i="42"/>
  <c r="E117" i="41"/>
  <c r="F117" i="41" s="1"/>
  <c r="B117" i="41"/>
  <c r="E117" i="38"/>
  <c r="F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D127" i="10"/>
  <c r="E127" i="10"/>
  <c r="J123" i="8"/>
  <c r="J124" i="11"/>
  <c r="G118" i="29"/>
  <c r="D119" i="29"/>
  <c r="E119" i="29"/>
  <c r="G121" i="23"/>
  <c r="D122" i="23"/>
  <c r="E122" i="23"/>
  <c r="G123" i="3"/>
  <c r="D124" i="3"/>
  <c r="E124" i="3"/>
  <c r="G124" i="8"/>
  <c r="D125" i="8"/>
  <c r="E125" i="8"/>
  <c r="G123" i="5"/>
  <c r="D124" i="5"/>
  <c r="E124" i="5"/>
  <c r="G123" i="4"/>
  <c r="D124" i="4"/>
  <c r="E124" i="4"/>
  <c r="G118" i="28"/>
  <c r="D119" i="28"/>
  <c r="E119" i="28"/>
  <c r="G124" i="6"/>
  <c r="D125" i="6"/>
  <c r="E125" i="6"/>
  <c r="G125" i="9"/>
  <c r="D126" i="9"/>
  <c r="E126" i="9"/>
  <c r="G122" i="25"/>
  <c r="D123" i="25"/>
  <c r="E123" i="25"/>
  <c r="G115" i="39"/>
  <c r="D116" i="39"/>
  <c r="E116" i="39"/>
  <c r="G114" i="40"/>
  <c r="D115" i="40"/>
  <c r="E115" i="40"/>
  <c r="G120" i="24"/>
  <c r="D121" i="24"/>
  <c r="E121" i="24"/>
  <c r="J117" i="31"/>
  <c r="G122" i="22"/>
  <c r="D123" i="22"/>
  <c r="E123" i="22"/>
  <c r="G115" i="43"/>
  <c r="D116" i="43"/>
  <c r="E116" i="43"/>
  <c r="G119" i="27"/>
  <c r="D120" i="27"/>
  <c r="E120" i="27"/>
  <c r="G118" i="31"/>
  <c r="D119" i="31"/>
  <c r="E119" i="31"/>
  <c r="G115" i="37"/>
  <c r="D116" i="37"/>
  <c r="E116" i="37"/>
  <c r="G125" i="11"/>
  <c r="D126" i="11"/>
  <c r="E126" i="11"/>
  <c r="G117" i="30"/>
  <c r="D118" i="30"/>
  <c r="E118" i="30"/>
  <c r="J114" i="43"/>
  <c r="J116" i="30"/>
  <c r="G126" i="7"/>
  <c r="D127" i="7"/>
  <c r="E127" i="7"/>
  <c r="J123" i="6"/>
  <c r="J121" i="25"/>
  <c r="J125" i="10"/>
  <c r="G117" i="42" l="1"/>
  <c r="D118" i="42"/>
  <c r="G117" i="41"/>
  <c r="D118" i="41"/>
  <c r="B118" i="41" s="1"/>
  <c r="E118" i="41"/>
  <c r="D118" i="38"/>
  <c r="B118" i="38" s="1"/>
  <c r="G117" i="38"/>
  <c r="E118" i="38"/>
  <c r="F118" i="38" s="1"/>
  <c r="J116" i="41"/>
  <c r="B116" i="37"/>
  <c r="F116" i="37"/>
  <c r="H118" i="31"/>
  <c r="I118" i="31"/>
  <c r="B123" i="22"/>
  <c r="F123" i="22"/>
  <c r="B121" i="24"/>
  <c r="F121" i="24"/>
  <c r="H114" i="40"/>
  <c r="I114" i="40"/>
  <c r="B126" i="9"/>
  <c r="F126" i="9"/>
  <c r="H124" i="6"/>
  <c r="I124" i="6"/>
  <c r="B124" i="5"/>
  <c r="F124" i="5"/>
  <c r="I124" i="8"/>
  <c r="H124" i="8"/>
  <c r="B119" i="29"/>
  <c r="F119" i="29"/>
  <c r="B127" i="7"/>
  <c r="F127" i="7"/>
  <c r="B126" i="11"/>
  <c r="F126" i="11"/>
  <c r="I115" i="37"/>
  <c r="H115" i="37"/>
  <c r="B116" i="43"/>
  <c r="F116" i="43"/>
  <c r="I122" i="22"/>
  <c r="H122" i="22"/>
  <c r="H120" i="24"/>
  <c r="I120" i="24"/>
  <c r="B123" i="25"/>
  <c r="F123" i="25"/>
  <c r="H125" i="9"/>
  <c r="I125" i="9"/>
  <c r="B124" i="4"/>
  <c r="F124" i="4"/>
  <c r="H123" i="5"/>
  <c r="I123" i="5"/>
  <c r="B122" i="23"/>
  <c r="F122" i="23"/>
  <c r="H118" i="29"/>
  <c r="I118" i="29"/>
  <c r="B127" i="10"/>
  <c r="F127" i="10"/>
  <c r="B118" i="30"/>
  <c r="F118" i="30"/>
  <c r="H125" i="11"/>
  <c r="I125" i="11"/>
  <c r="B120" i="27"/>
  <c r="F120" i="27"/>
  <c r="H115" i="43"/>
  <c r="I115" i="43"/>
  <c r="B116" i="39"/>
  <c r="F116" i="39"/>
  <c r="H122" i="25"/>
  <c r="I122" i="25"/>
  <c r="B119" i="28"/>
  <c r="F119" i="28"/>
  <c r="I123" i="4"/>
  <c r="H123" i="4"/>
  <c r="B124" i="3"/>
  <c r="F124" i="3"/>
  <c r="I121" i="23"/>
  <c r="H121" i="23"/>
  <c r="H126" i="10"/>
  <c r="I126" i="10"/>
  <c r="I126" i="7"/>
  <c r="H126" i="7"/>
  <c r="H117" i="30"/>
  <c r="I117" i="30"/>
  <c r="B119" i="31"/>
  <c r="F119" i="31"/>
  <c r="I119" i="27"/>
  <c r="H119" i="27"/>
  <c r="B115" i="40"/>
  <c r="F115" i="40"/>
  <c r="H115" i="39"/>
  <c r="I115" i="39"/>
  <c r="B125" i="6"/>
  <c r="F125" i="6"/>
  <c r="H118" i="28"/>
  <c r="I118" i="28"/>
  <c r="B125" i="8"/>
  <c r="F125" i="8"/>
  <c r="H123" i="3"/>
  <c r="I123" i="3"/>
  <c r="G118" i="38" l="1"/>
  <c r="D119" i="38"/>
  <c r="B119" i="38" s="1"/>
  <c r="E119" i="38"/>
  <c r="H117" i="38"/>
  <c r="I117" i="38"/>
  <c r="H117" i="41"/>
  <c r="I117" i="41"/>
  <c r="E118" i="42"/>
  <c r="F118" i="42" s="1"/>
  <c r="B118" i="42"/>
  <c r="F118" i="41"/>
  <c r="H117" i="42"/>
  <c r="I117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D120" i="28"/>
  <c r="E120" i="28"/>
  <c r="G116" i="39"/>
  <c r="D117" i="39"/>
  <c r="E117" i="39"/>
  <c r="G120" i="27"/>
  <c r="D121" i="27"/>
  <c r="E121" i="27"/>
  <c r="G118" i="30"/>
  <c r="D119" i="30"/>
  <c r="E119" i="30"/>
  <c r="J118" i="29"/>
  <c r="J123" i="5"/>
  <c r="J125" i="9"/>
  <c r="J120" i="24"/>
  <c r="G116" i="43"/>
  <c r="D117" i="43"/>
  <c r="E117" i="43"/>
  <c r="G126" i="11"/>
  <c r="D127" i="11"/>
  <c r="E127" i="11"/>
  <c r="G119" i="29"/>
  <c r="D120" i="29"/>
  <c r="E120" i="29"/>
  <c r="G124" i="5"/>
  <c r="D125" i="5"/>
  <c r="E125" i="5"/>
  <c r="G126" i="9"/>
  <c r="D127" i="9"/>
  <c r="E127" i="9"/>
  <c r="G121" i="24"/>
  <c r="D122" i="24"/>
  <c r="E122" i="24"/>
  <c r="G125" i="8"/>
  <c r="D126" i="8"/>
  <c r="E126" i="8" s="1"/>
  <c r="G125" i="6"/>
  <c r="D126" i="6"/>
  <c r="E126" i="6"/>
  <c r="G115" i="40"/>
  <c r="D116" i="40"/>
  <c r="E116" i="40"/>
  <c r="G119" i="31"/>
  <c r="D120" i="31"/>
  <c r="E120" i="31"/>
  <c r="J122" i="25"/>
  <c r="J115" i="43"/>
  <c r="J125" i="11"/>
  <c r="G127" i="10"/>
  <c r="D128" i="10"/>
  <c r="E128" i="10"/>
  <c r="G122" i="23"/>
  <c r="D123" i="23"/>
  <c r="E123" i="23"/>
  <c r="G124" i="4"/>
  <c r="D125" i="4"/>
  <c r="E125" i="4"/>
  <c r="G123" i="25"/>
  <c r="D124" i="25"/>
  <c r="E124" i="25"/>
  <c r="G127" i="7"/>
  <c r="D128" i="7"/>
  <c r="E128" i="7"/>
  <c r="J114" i="40"/>
  <c r="G123" i="22"/>
  <c r="D124" i="22"/>
  <c r="E124" i="22"/>
  <c r="G116" i="37"/>
  <c r="D117" i="37"/>
  <c r="E117" i="37"/>
  <c r="J124" i="8"/>
  <c r="F119" i="38" l="1"/>
  <c r="G118" i="42"/>
  <c r="D119" i="42"/>
  <c r="B119" i="42" s="1"/>
  <c r="E119" i="42"/>
  <c r="D119" i="41"/>
  <c r="G118" i="41"/>
  <c r="J117" i="41"/>
  <c r="G119" i="38"/>
  <c r="D120" i="38"/>
  <c r="J117" i="42"/>
  <c r="J117" i="38"/>
  <c r="H118" i="38"/>
  <c r="I118" i="38"/>
  <c r="H116" i="37"/>
  <c r="I116" i="37"/>
  <c r="B124" i="25"/>
  <c r="F124" i="25"/>
  <c r="H124" i="4"/>
  <c r="I124" i="4"/>
  <c r="H119" i="31"/>
  <c r="I119" i="31"/>
  <c r="B126" i="8"/>
  <c r="F126" i="8"/>
  <c r="H121" i="24"/>
  <c r="I121" i="24"/>
  <c r="B120" i="29"/>
  <c r="F120" i="29"/>
  <c r="H126" i="11"/>
  <c r="I126" i="11"/>
  <c r="B121" i="27"/>
  <c r="F121" i="27"/>
  <c r="H116" i="39"/>
  <c r="I116" i="39"/>
  <c r="B128" i="7"/>
  <c r="F128" i="7"/>
  <c r="B128" i="10"/>
  <c r="F128" i="10"/>
  <c r="B126" i="6"/>
  <c r="F126" i="6"/>
  <c r="H125" i="8"/>
  <c r="I125" i="8"/>
  <c r="B125" i="5"/>
  <c r="F125" i="5"/>
  <c r="H119" i="29"/>
  <c r="I119" i="29"/>
  <c r="B119" i="30"/>
  <c r="F119" i="30"/>
  <c r="H120" i="27"/>
  <c r="I120" i="27"/>
  <c r="B125" i="3"/>
  <c r="F125" i="3"/>
  <c r="B124" i="22"/>
  <c r="F124" i="22"/>
  <c r="H123" i="25"/>
  <c r="I123" i="25"/>
  <c r="B117" i="37"/>
  <c r="F117" i="37"/>
  <c r="H123" i="22"/>
  <c r="I123" i="22"/>
  <c r="H127" i="7"/>
  <c r="I127" i="7"/>
  <c r="B123" i="23"/>
  <c r="F123" i="23"/>
  <c r="H127" i="10"/>
  <c r="I127" i="10"/>
  <c r="B116" i="40"/>
  <c r="F116" i="40"/>
  <c r="I125" i="6"/>
  <c r="H125" i="6"/>
  <c r="B127" i="9"/>
  <c r="F127" i="9"/>
  <c r="I124" i="5"/>
  <c r="H124" i="5"/>
  <c r="B117" i="43"/>
  <c r="F117" i="43"/>
  <c r="I118" i="30"/>
  <c r="H118" i="30"/>
  <c r="B120" i="28"/>
  <c r="F120" i="28"/>
  <c r="H124" i="3"/>
  <c r="I124" i="3"/>
  <c r="B125" i="4"/>
  <c r="F125" i="4"/>
  <c r="H122" i="23"/>
  <c r="I122" i="23"/>
  <c r="B120" i="31"/>
  <c r="F120" i="31"/>
  <c r="I115" i="40"/>
  <c r="H115" i="40"/>
  <c r="B122" i="24"/>
  <c r="F122" i="24"/>
  <c r="H126" i="9"/>
  <c r="I126" i="9"/>
  <c r="B127" i="11"/>
  <c r="F127" i="11"/>
  <c r="H116" i="43"/>
  <c r="I116" i="43"/>
  <c r="B117" i="39"/>
  <c r="F117" i="39"/>
  <c r="H119" i="28"/>
  <c r="I119" i="28"/>
  <c r="F119" i="42" l="1"/>
  <c r="J118" i="38"/>
  <c r="E120" i="38"/>
  <c r="F120" i="38" s="1"/>
  <c r="B120" i="38"/>
  <c r="E119" i="41"/>
  <c r="F119" i="41" s="1"/>
  <c r="B119" i="41"/>
  <c r="H119" i="38"/>
  <c r="I119" i="38"/>
  <c r="D120" i="42"/>
  <c r="G119" i="42"/>
  <c r="H118" i="41"/>
  <c r="I118" i="41"/>
  <c r="H118" i="42"/>
  <c r="I118" i="42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D118" i="37"/>
  <c r="E118" i="37"/>
  <c r="G124" i="22"/>
  <c r="D125" i="22"/>
  <c r="E125" i="22" s="1"/>
  <c r="J119" i="29"/>
  <c r="J125" i="8"/>
  <c r="G128" i="10"/>
  <c r="D129" i="10"/>
  <c r="E129" i="10" s="1"/>
  <c r="J116" i="39"/>
  <c r="J126" i="11"/>
  <c r="J121" i="24"/>
  <c r="J119" i="31"/>
  <c r="G124" i="25"/>
  <c r="D125" i="25"/>
  <c r="E125" i="25"/>
  <c r="G117" i="39"/>
  <c r="D118" i="39"/>
  <c r="E118" i="39"/>
  <c r="D128" i="11"/>
  <c r="E128" i="11" s="1"/>
  <c r="G127" i="11"/>
  <c r="G122" i="24"/>
  <c r="D123" i="24"/>
  <c r="E123" i="24"/>
  <c r="G120" i="31"/>
  <c r="D121" i="31"/>
  <c r="E121" i="31"/>
  <c r="G125" i="4"/>
  <c r="D126" i="4"/>
  <c r="E126" i="4"/>
  <c r="G120" i="28"/>
  <c r="D121" i="28"/>
  <c r="E121" i="28"/>
  <c r="G117" i="43"/>
  <c r="D118" i="43"/>
  <c r="E118" i="43"/>
  <c r="G127" i="9"/>
  <c r="D128" i="9"/>
  <c r="E128" i="9" s="1"/>
  <c r="G116" i="40"/>
  <c r="D117" i="40"/>
  <c r="E117" i="40"/>
  <c r="G123" i="23"/>
  <c r="D124" i="23"/>
  <c r="E124" i="23"/>
  <c r="J123" i="22"/>
  <c r="J123" i="25"/>
  <c r="G125" i="3"/>
  <c r="D126" i="3"/>
  <c r="E126" i="3"/>
  <c r="G119" i="30"/>
  <c r="D120" i="30"/>
  <c r="E120" i="30"/>
  <c r="G125" i="5"/>
  <c r="D126" i="5"/>
  <c r="E126" i="5" s="1"/>
  <c r="G126" i="6"/>
  <c r="D127" i="6"/>
  <c r="E127" i="6" s="1"/>
  <c r="G128" i="7"/>
  <c r="D129" i="7"/>
  <c r="E129" i="7"/>
  <c r="G121" i="27"/>
  <c r="D122" i="27"/>
  <c r="E122" i="27"/>
  <c r="G120" i="29"/>
  <c r="D121" i="29"/>
  <c r="E121" i="29"/>
  <c r="G126" i="8"/>
  <c r="D127" i="8"/>
  <c r="E127" i="8" s="1"/>
  <c r="J118" i="41" l="1"/>
  <c r="J119" i="38"/>
  <c r="J118" i="42"/>
  <c r="D120" i="41"/>
  <c r="G119" i="41"/>
  <c r="G120" i="38"/>
  <c r="D121" i="38"/>
  <c r="B121" i="38" s="1"/>
  <c r="E121" i="38"/>
  <c r="H119" i="42"/>
  <c r="I119" i="42"/>
  <c r="J119" i="42" s="1"/>
  <c r="E120" i="42"/>
  <c r="F120" i="42" s="1"/>
  <c r="B120" i="42"/>
  <c r="B127" i="8"/>
  <c r="F127" i="8"/>
  <c r="H126" i="8"/>
  <c r="I126" i="8"/>
  <c r="B129" i="7"/>
  <c r="F129" i="7"/>
  <c r="H126" i="6"/>
  <c r="I126" i="6"/>
  <c r="B126" i="3"/>
  <c r="F126" i="3"/>
  <c r="B117" i="40"/>
  <c r="F117" i="40"/>
  <c r="H127" i="9"/>
  <c r="I127" i="9"/>
  <c r="B126" i="4"/>
  <c r="F126" i="4"/>
  <c r="H120" i="31"/>
  <c r="I120" i="31"/>
  <c r="B118" i="39"/>
  <c r="F118" i="39"/>
  <c r="H124" i="25"/>
  <c r="I124" i="25"/>
  <c r="I124" i="22"/>
  <c r="H124" i="22"/>
  <c r="B121" i="29"/>
  <c r="F121" i="29"/>
  <c r="B122" i="27"/>
  <c r="F122" i="27"/>
  <c r="H128" i="7"/>
  <c r="I128" i="7"/>
  <c r="B120" i="30"/>
  <c r="F120" i="30"/>
  <c r="H125" i="3"/>
  <c r="I125" i="3"/>
  <c r="B124" i="23"/>
  <c r="F124" i="23"/>
  <c r="H116" i="40"/>
  <c r="I116" i="40"/>
  <c r="B121" i="28"/>
  <c r="F121" i="28"/>
  <c r="I125" i="4"/>
  <c r="H125" i="4"/>
  <c r="H127" i="11"/>
  <c r="I127" i="11"/>
  <c r="H117" i="39"/>
  <c r="I117" i="39"/>
  <c r="I121" i="27"/>
  <c r="H121" i="27"/>
  <c r="B126" i="5"/>
  <c r="F126" i="5"/>
  <c r="H119" i="30"/>
  <c r="I119" i="30"/>
  <c r="H123" i="23"/>
  <c r="I123" i="23"/>
  <c r="B118" i="43"/>
  <c r="F118" i="43"/>
  <c r="H120" i="28"/>
  <c r="I120" i="28"/>
  <c r="B123" i="24"/>
  <c r="F123" i="24"/>
  <c r="B128" i="11"/>
  <c r="F128" i="11"/>
  <c r="B129" i="10"/>
  <c r="F129" i="10"/>
  <c r="B118" i="37"/>
  <c r="F118" i="37"/>
  <c r="H120" i="29"/>
  <c r="I120" i="29"/>
  <c r="B127" i="6"/>
  <c r="F127" i="6"/>
  <c r="H125" i="5"/>
  <c r="I125" i="5"/>
  <c r="B128" i="9"/>
  <c r="F128" i="9"/>
  <c r="H117" i="43"/>
  <c r="I117" i="43"/>
  <c r="B121" i="31"/>
  <c r="F121" i="31"/>
  <c r="H122" i="24"/>
  <c r="I122" i="24"/>
  <c r="B125" i="25"/>
  <c r="F125" i="25"/>
  <c r="H128" i="10"/>
  <c r="I128" i="10"/>
  <c r="B125" i="22"/>
  <c r="F125" i="22"/>
  <c r="H117" i="37"/>
  <c r="I117" i="37"/>
  <c r="G120" i="42" l="1"/>
  <c r="D121" i="42"/>
  <c r="H120" i="38"/>
  <c r="I120" i="38"/>
  <c r="I119" i="41"/>
  <c r="H119" i="41"/>
  <c r="F121" i="38"/>
  <c r="E120" i="41"/>
  <c r="F120" i="41" s="1"/>
  <c r="B120" i="41"/>
  <c r="J125" i="4"/>
  <c r="J121" i="27"/>
  <c r="J124" i="22"/>
  <c r="J117" i="37"/>
  <c r="J128" i="10"/>
  <c r="J122" i="24"/>
  <c r="J117" i="43"/>
  <c r="J125" i="5"/>
  <c r="J120" i="29"/>
  <c r="G129" i="10"/>
  <c r="D130" i="10"/>
  <c r="E130" i="10" s="1"/>
  <c r="G123" i="24"/>
  <c r="D124" i="24"/>
  <c r="E124" i="24" s="1"/>
  <c r="G118" i="43"/>
  <c r="D119" i="43"/>
  <c r="E119" i="43"/>
  <c r="J119" i="30"/>
  <c r="J127" i="11"/>
  <c r="G121" i="28"/>
  <c r="D122" i="28"/>
  <c r="E122" i="28"/>
  <c r="G124" i="23"/>
  <c r="D125" i="23"/>
  <c r="E125" i="23"/>
  <c r="G120" i="30"/>
  <c r="D121" i="30"/>
  <c r="E121" i="30"/>
  <c r="G122" i="27"/>
  <c r="D123" i="27"/>
  <c r="E123" i="27" s="1"/>
  <c r="G118" i="39"/>
  <c r="D119" i="39"/>
  <c r="E119" i="39"/>
  <c r="G126" i="4"/>
  <c r="D127" i="4"/>
  <c r="E127" i="4"/>
  <c r="G117" i="40"/>
  <c r="D118" i="40"/>
  <c r="E118" i="40"/>
  <c r="J126" i="6"/>
  <c r="J126" i="8"/>
  <c r="G125" i="22"/>
  <c r="D126" i="22"/>
  <c r="E126" i="22"/>
  <c r="G125" i="25"/>
  <c r="D126" i="25"/>
  <c r="E126" i="25"/>
  <c r="G121" i="31"/>
  <c r="D122" i="31"/>
  <c r="E122" i="31"/>
  <c r="G128" i="9"/>
  <c r="D129" i="9"/>
  <c r="E129" i="9" s="1"/>
  <c r="G127" i="6"/>
  <c r="D128" i="6"/>
  <c r="E128" i="6"/>
  <c r="G118" i="37"/>
  <c r="D119" i="37"/>
  <c r="E119" i="37"/>
  <c r="G128" i="11"/>
  <c r="D129" i="11"/>
  <c r="E129" i="11"/>
  <c r="J120" i="28"/>
  <c r="J123" i="23"/>
  <c r="G126" i="5"/>
  <c r="D127" i="5"/>
  <c r="E127" i="5"/>
  <c r="J117" i="39"/>
  <c r="J116" i="40"/>
  <c r="J125" i="3"/>
  <c r="J128" i="7"/>
  <c r="G121" i="29"/>
  <c r="D122" i="29"/>
  <c r="E122" i="29"/>
  <c r="J124" i="25"/>
  <c r="J120" i="31"/>
  <c r="J127" i="9"/>
  <c r="G126" i="3"/>
  <c r="D127" i="3"/>
  <c r="E127" i="3"/>
  <c r="G129" i="7"/>
  <c r="D130" i="7"/>
  <c r="E130" i="7"/>
  <c r="G127" i="8"/>
  <c r="D128" i="8"/>
  <c r="E128" i="8"/>
  <c r="J120" i="38" l="1"/>
  <c r="D122" i="38"/>
  <c r="G121" i="38"/>
  <c r="D121" i="41"/>
  <c r="B121" i="41" s="1"/>
  <c r="G120" i="41"/>
  <c r="E121" i="41"/>
  <c r="E121" i="42"/>
  <c r="F121" i="42"/>
  <c r="B121" i="42"/>
  <c r="J119" i="41"/>
  <c r="I120" i="42"/>
  <c r="H120" i="42"/>
  <c r="B128" i="8"/>
  <c r="F128" i="8"/>
  <c r="H129" i="7"/>
  <c r="I129" i="7"/>
  <c r="B122" i="29"/>
  <c r="F122" i="29"/>
  <c r="I126" i="5"/>
  <c r="H126" i="5"/>
  <c r="B129" i="11"/>
  <c r="F129" i="11"/>
  <c r="H118" i="37"/>
  <c r="I118" i="37"/>
  <c r="B122" i="31"/>
  <c r="F122" i="31"/>
  <c r="H125" i="25"/>
  <c r="I125" i="25"/>
  <c r="H117" i="40"/>
  <c r="I117" i="40"/>
  <c r="B123" i="27"/>
  <c r="F123" i="27"/>
  <c r="H120" i="30"/>
  <c r="I120" i="30"/>
  <c r="B130" i="10"/>
  <c r="F130" i="10"/>
  <c r="I127" i="8"/>
  <c r="H127" i="8"/>
  <c r="I121" i="29"/>
  <c r="H121" i="29"/>
  <c r="H128" i="11"/>
  <c r="I128" i="11"/>
  <c r="B129" i="9"/>
  <c r="F129" i="9"/>
  <c r="H121" i="31"/>
  <c r="I121" i="31"/>
  <c r="B119" i="39"/>
  <c r="F119" i="39"/>
  <c r="H122" i="27"/>
  <c r="I122" i="27"/>
  <c r="B122" i="28"/>
  <c r="F122" i="28"/>
  <c r="B124" i="24"/>
  <c r="F124" i="24"/>
  <c r="H129" i="10"/>
  <c r="I129" i="10"/>
  <c r="B127" i="3"/>
  <c r="F127" i="3"/>
  <c r="B128" i="6"/>
  <c r="F128" i="6"/>
  <c r="H128" i="9"/>
  <c r="I128" i="9"/>
  <c r="B126" i="22"/>
  <c r="F126" i="22"/>
  <c r="B127" i="4"/>
  <c r="F127" i="4"/>
  <c r="H118" i="39"/>
  <c r="I118" i="39"/>
  <c r="B125" i="23"/>
  <c r="F125" i="23"/>
  <c r="I121" i="28"/>
  <c r="H121" i="28"/>
  <c r="B119" i="43"/>
  <c r="F119" i="43"/>
  <c r="H123" i="24"/>
  <c r="I123" i="24"/>
  <c r="B130" i="7"/>
  <c r="F130" i="7"/>
  <c r="H126" i="3"/>
  <c r="I126" i="3"/>
  <c r="B127" i="5"/>
  <c r="F127" i="5"/>
  <c r="B119" i="37"/>
  <c r="F119" i="37"/>
  <c r="I127" i="6"/>
  <c r="H127" i="6"/>
  <c r="B126" i="25"/>
  <c r="F126" i="25"/>
  <c r="I125" i="22"/>
  <c r="H125" i="22"/>
  <c r="B118" i="40"/>
  <c r="F118" i="40"/>
  <c r="H126" i="4"/>
  <c r="I126" i="4"/>
  <c r="B121" i="30"/>
  <c r="F121" i="30"/>
  <c r="H124" i="23"/>
  <c r="I124" i="23"/>
  <c r="H118" i="43"/>
  <c r="I118" i="43"/>
  <c r="D122" i="42" l="1"/>
  <c r="B122" i="42" s="1"/>
  <c r="G121" i="42"/>
  <c r="E122" i="42"/>
  <c r="F122" i="42" s="1"/>
  <c r="J120" i="42"/>
  <c r="I121" i="38"/>
  <c r="H121" i="38"/>
  <c r="F121" i="41"/>
  <c r="E122" i="38"/>
  <c r="F122" i="38" s="1"/>
  <c r="B122" i="38"/>
  <c r="H120" i="41"/>
  <c r="I120" i="41"/>
  <c r="J120" i="41" s="1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D122" i="30"/>
  <c r="E122" i="30"/>
  <c r="G118" i="40"/>
  <c r="D119" i="40"/>
  <c r="E119" i="40"/>
  <c r="G126" i="25"/>
  <c r="D127" i="25"/>
  <c r="E127" i="25" s="1"/>
  <c r="G119" i="37"/>
  <c r="D120" i="37"/>
  <c r="E120" i="37"/>
  <c r="J126" i="3"/>
  <c r="J123" i="24"/>
  <c r="J118" i="39"/>
  <c r="G126" i="22"/>
  <c r="D127" i="22"/>
  <c r="E127" i="22" s="1"/>
  <c r="G128" i="6"/>
  <c r="D129" i="6"/>
  <c r="E129" i="6" s="1"/>
  <c r="J129" i="10"/>
  <c r="G122" i="28"/>
  <c r="D123" i="28"/>
  <c r="E123" i="28" s="1"/>
  <c r="G119" i="39"/>
  <c r="D120" i="39"/>
  <c r="E120" i="39"/>
  <c r="G129" i="9"/>
  <c r="D130" i="9"/>
  <c r="E130" i="9"/>
  <c r="G130" i="10"/>
  <c r="D131" i="10"/>
  <c r="E131" i="10" s="1"/>
  <c r="G123" i="27"/>
  <c r="D124" i="27"/>
  <c r="E124" i="27" s="1"/>
  <c r="J126" i="5"/>
  <c r="J126" i="4"/>
  <c r="G127" i="5"/>
  <c r="D128" i="5"/>
  <c r="E128" i="5" s="1"/>
  <c r="G130" i="7"/>
  <c r="D131" i="7"/>
  <c r="E131" i="7" s="1"/>
  <c r="G119" i="43"/>
  <c r="D120" i="43"/>
  <c r="E120" i="43"/>
  <c r="G125" i="23"/>
  <c r="D126" i="23"/>
  <c r="E126" i="23"/>
  <c r="G127" i="4"/>
  <c r="D128" i="4"/>
  <c r="E128" i="4" s="1"/>
  <c r="G127" i="3"/>
  <c r="D128" i="3"/>
  <c r="E128" i="3" s="1"/>
  <c r="G124" i="24"/>
  <c r="D125" i="24"/>
  <c r="E125" i="24"/>
  <c r="J128" i="11"/>
  <c r="J120" i="30"/>
  <c r="J117" i="40"/>
  <c r="G122" i="31"/>
  <c r="D123" i="31"/>
  <c r="E123" i="31" s="1"/>
  <c r="G129" i="11"/>
  <c r="D130" i="11"/>
  <c r="E130" i="11" s="1"/>
  <c r="G122" i="29"/>
  <c r="D123" i="29"/>
  <c r="E123" i="29"/>
  <c r="G128" i="8"/>
  <c r="D129" i="8"/>
  <c r="E129" i="8"/>
  <c r="J121" i="38" l="1"/>
  <c r="G122" i="38"/>
  <c r="D123" i="38"/>
  <c r="G121" i="41"/>
  <c r="D122" i="41"/>
  <c r="G122" i="42"/>
  <c r="D123" i="42"/>
  <c r="H121" i="42"/>
  <c r="I121" i="42"/>
  <c r="B130" i="11"/>
  <c r="F130" i="11"/>
  <c r="B123" i="29"/>
  <c r="F123" i="29"/>
  <c r="H129" i="11"/>
  <c r="I129" i="11"/>
  <c r="B125" i="24"/>
  <c r="F125" i="24"/>
  <c r="I127" i="3"/>
  <c r="H127" i="3"/>
  <c r="B120" i="43"/>
  <c r="F120" i="43"/>
  <c r="H130" i="7"/>
  <c r="I130" i="7"/>
  <c r="H123" i="27"/>
  <c r="I123" i="27"/>
  <c r="B120" i="39"/>
  <c r="F120" i="39"/>
  <c r="H122" i="28"/>
  <c r="I122" i="28"/>
  <c r="H128" i="6"/>
  <c r="I128" i="6"/>
  <c r="B120" i="37"/>
  <c r="F120" i="37"/>
  <c r="H126" i="25"/>
  <c r="I126" i="25"/>
  <c r="B129" i="8"/>
  <c r="F129" i="8"/>
  <c r="H122" i="29"/>
  <c r="I122" i="29"/>
  <c r="H124" i="24"/>
  <c r="I124" i="24"/>
  <c r="B126" i="23"/>
  <c r="F126" i="23"/>
  <c r="H119" i="43"/>
  <c r="I119" i="43"/>
  <c r="B130" i="9"/>
  <c r="F130" i="9"/>
  <c r="H119" i="39"/>
  <c r="I119" i="39"/>
  <c r="H119" i="37"/>
  <c r="I119" i="37"/>
  <c r="B122" i="30"/>
  <c r="F122" i="30"/>
  <c r="H128" i="8"/>
  <c r="I128" i="8"/>
  <c r="B128" i="4"/>
  <c r="F128" i="4"/>
  <c r="I125" i="23"/>
  <c r="H125" i="23"/>
  <c r="B128" i="5"/>
  <c r="F128" i="5"/>
  <c r="B131" i="10"/>
  <c r="F131" i="10"/>
  <c r="H129" i="9"/>
  <c r="I129" i="9"/>
  <c r="B127" i="22"/>
  <c r="F127" i="22"/>
  <c r="B119" i="40"/>
  <c r="F119" i="40"/>
  <c r="H121" i="30"/>
  <c r="I121" i="30"/>
  <c r="B123" i="31"/>
  <c r="F123" i="31"/>
  <c r="I122" i="31"/>
  <c r="H122" i="31"/>
  <c r="B128" i="3"/>
  <c r="F128" i="3"/>
  <c r="H127" i="4"/>
  <c r="I127" i="4"/>
  <c r="B131" i="7"/>
  <c r="F131" i="7"/>
  <c r="H127" i="5"/>
  <c r="I127" i="5"/>
  <c r="B124" i="27"/>
  <c r="F124" i="27"/>
  <c r="I130" i="10"/>
  <c r="H130" i="10"/>
  <c r="B123" i="28"/>
  <c r="F123" i="28"/>
  <c r="B129" i="6"/>
  <c r="F129" i="6"/>
  <c r="H126" i="22"/>
  <c r="I126" i="22"/>
  <c r="B127" i="25"/>
  <c r="F127" i="25"/>
  <c r="H118" i="40"/>
  <c r="I118" i="40"/>
  <c r="J121" i="42" l="1"/>
  <c r="E122" i="41"/>
  <c r="F122" i="41" s="1"/>
  <c r="B122" i="41"/>
  <c r="I121" i="41"/>
  <c r="H121" i="41"/>
  <c r="E123" i="42"/>
  <c r="F123" i="42"/>
  <c r="B123" i="42"/>
  <c r="E123" i="38"/>
  <c r="B123" i="38"/>
  <c r="F123" i="38"/>
  <c r="H122" i="42"/>
  <c r="I122" i="42"/>
  <c r="I122" i="38"/>
  <c r="H122" i="38"/>
  <c r="J127" i="5"/>
  <c r="J122" i="29"/>
  <c r="J127" i="4"/>
  <c r="J121" i="30"/>
  <c r="J128" i="8"/>
  <c r="J119" i="37"/>
  <c r="J126" i="25"/>
  <c r="J127" i="3"/>
  <c r="G127" i="25"/>
  <c r="D128" i="25"/>
  <c r="E128" i="25" s="1"/>
  <c r="J118" i="40"/>
  <c r="J126" i="22"/>
  <c r="G123" i="28"/>
  <c r="D124" i="28"/>
  <c r="E124" i="28" s="1"/>
  <c r="G124" i="27"/>
  <c r="D125" i="27"/>
  <c r="E125" i="27"/>
  <c r="G131" i="7"/>
  <c r="D132" i="7"/>
  <c r="E132" i="7" s="1"/>
  <c r="G128" i="3"/>
  <c r="D129" i="3"/>
  <c r="E129" i="3"/>
  <c r="G123" i="31"/>
  <c r="D124" i="31"/>
  <c r="E124" i="31"/>
  <c r="G119" i="40"/>
  <c r="D120" i="40"/>
  <c r="E120" i="40"/>
  <c r="J129" i="9"/>
  <c r="G128" i="5"/>
  <c r="D129" i="5"/>
  <c r="E129" i="5" s="1"/>
  <c r="G128" i="4"/>
  <c r="D129" i="4"/>
  <c r="E129" i="4" s="1"/>
  <c r="G122" i="30"/>
  <c r="D123" i="30"/>
  <c r="E123" i="30"/>
  <c r="J119" i="39"/>
  <c r="J119" i="43"/>
  <c r="J124" i="24"/>
  <c r="G129" i="8"/>
  <c r="D130" i="8"/>
  <c r="E130" i="8" s="1"/>
  <c r="G120" i="37"/>
  <c r="D121" i="37"/>
  <c r="E121" i="37" s="1"/>
  <c r="J122" i="28"/>
  <c r="J123" i="27"/>
  <c r="G120" i="43"/>
  <c r="D121" i="43"/>
  <c r="E121" i="43" s="1"/>
  <c r="G125" i="24"/>
  <c r="D126" i="24"/>
  <c r="E126" i="24" s="1"/>
  <c r="G123" i="29"/>
  <c r="D124" i="29"/>
  <c r="E124" i="29"/>
  <c r="G129" i="6"/>
  <c r="D130" i="6"/>
  <c r="E130" i="6" s="1"/>
  <c r="G127" i="22"/>
  <c r="D128" i="22"/>
  <c r="E128" i="22" s="1"/>
  <c r="G131" i="10"/>
  <c r="D132" i="10"/>
  <c r="E132" i="10" s="1"/>
  <c r="G130" i="9"/>
  <c r="D131" i="9"/>
  <c r="E131" i="9"/>
  <c r="G126" i="23"/>
  <c r="D127" i="23"/>
  <c r="E127" i="23"/>
  <c r="J128" i="6"/>
  <c r="G120" i="39"/>
  <c r="D121" i="39"/>
  <c r="E121" i="39" s="1"/>
  <c r="J130" i="7"/>
  <c r="J129" i="11"/>
  <c r="G130" i="11"/>
  <c r="D131" i="11"/>
  <c r="E131" i="11"/>
  <c r="J130" i="10"/>
  <c r="J122" i="31"/>
  <c r="J125" i="23"/>
  <c r="J121" i="41" l="1"/>
  <c r="G123" i="38"/>
  <c r="D124" i="38"/>
  <c r="B124" i="38" s="1"/>
  <c r="E124" i="38"/>
  <c r="G123" i="42"/>
  <c r="D124" i="42"/>
  <c r="J122" i="38"/>
  <c r="D123" i="41"/>
  <c r="G122" i="41"/>
  <c r="J122" i="42"/>
  <c r="B131" i="11"/>
  <c r="F131" i="11"/>
  <c r="B131" i="9"/>
  <c r="F131" i="9"/>
  <c r="H131" i="10"/>
  <c r="I131" i="10"/>
  <c r="B124" i="29"/>
  <c r="F124" i="29"/>
  <c r="H125" i="24"/>
  <c r="I125" i="24"/>
  <c r="H120" i="37"/>
  <c r="I120" i="37"/>
  <c r="B123" i="30"/>
  <c r="F123" i="30"/>
  <c r="I128" i="4"/>
  <c r="H128" i="4"/>
  <c r="B129" i="3"/>
  <c r="F129" i="3"/>
  <c r="H131" i="7"/>
  <c r="I131" i="7"/>
  <c r="B121" i="39"/>
  <c r="F121" i="39"/>
  <c r="B127" i="23"/>
  <c r="F127" i="23"/>
  <c r="I130" i="9"/>
  <c r="H130" i="9"/>
  <c r="B130" i="6"/>
  <c r="F130" i="6"/>
  <c r="I123" i="29"/>
  <c r="H123" i="29"/>
  <c r="H122" i="30"/>
  <c r="I122" i="30"/>
  <c r="B124" i="31"/>
  <c r="F124" i="31"/>
  <c r="I128" i="3"/>
  <c r="H128" i="3"/>
  <c r="B124" i="28"/>
  <c r="F124" i="28"/>
  <c r="H126" i="23"/>
  <c r="I126" i="23"/>
  <c r="B128" i="22"/>
  <c r="F128" i="22"/>
  <c r="H129" i="6"/>
  <c r="I129" i="6"/>
  <c r="B121" i="43"/>
  <c r="F121" i="43"/>
  <c r="B130" i="8"/>
  <c r="F130" i="8"/>
  <c r="B129" i="5"/>
  <c r="F129" i="5"/>
  <c r="B120" i="40"/>
  <c r="F120" i="40"/>
  <c r="H123" i="31"/>
  <c r="I123" i="31"/>
  <c r="B125" i="27"/>
  <c r="F125" i="27"/>
  <c r="H123" i="28"/>
  <c r="I123" i="28"/>
  <c r="B128" i="25"/>
  <c r="F128" i="25"/>
  <c r="H130" i="11"/>
  <c r="I130" i="11"/>
  <c r="H120" i="39"/>
  <c r="I120" i="39"/>
  <c r="B132" i="10"/>
  <c r="F132" i="10"/>
  <c r="I127" i="22"/>
  <c r="H127" i="22"/>
  <c r="B126" i="24"/>
  <c r="F126" i="24"/>
  <c r="H120" i="43"/>
  <c r="I120" i="43"/>
  <c r="B121" i="37"/>
  <c r="F121" i="37"/>
  <c r="I129" i="8"/>
  <c r="H129" i="8"/>
  <c r="B129" i="4"/>
  <c r="F129" i="4"/>
  <c r="H128" i="5"/>
  <c r="I128" i="5"/>
  <c r="H119" i="40"/>
  <c r="I119" i="40"/>
  <c r="B132" i="7"/>
  <c r="F132" i="7"/>
  <c r="H124" i="27"/>
  <c r="I124" i="27"/>
  <c r="H127" i="25"/>
  <c r="I127" i="25"/>
  <c r="F124" i="38" l="1"/>
  <c r="H122" i="41"/>
  <c r="I122" i="41"/>
  <c r="J122" i="41" s="1"/>
  <c r="I123" i="42"/>
  <c r="H123" i="42"/>
  <c r="E123" i="41"/>
  <c r="F123" i="41"/>
  <c r="B123" i="41"/>
  <c r="D125" i="38"/>
  <c r="G124" i="38"/>
  <c r="E124" i="42"/>
  <c r="F124" i="42" s="1"/>
  <c r="B124" i="42"/>
  <c r="I123" i="38"/>
  <c r="H123" i="38"/>
  <c r="J123" i="29"/>
  <c r="J130" i="9"/>
  <c r="J155" i="9" s="1"/>
  <c r="J128" i="3"/>
  <c r="J128" i="4"/>
  <c r="J129" i="8"/>
  <c r="J127" i="22"/>
  <c r="J127" i="25"/>
  <c r="J129" i="6"/>
  <c r="G132" i="7"/>
  <c r="D133" i="7"/>
  <c r="E133" i="7" s="1"/>
  <c r="J128" i="5"/>
  <c r="J120" i="43"/>
  <c r="J120" i="39"/>
  <c r="G128" i="25"/>
  <c r="D129" i="25"/>
  <c r="E129" i="25"/>
  <c r="G125" i="27"/>
  <c r="D126" i="27"/>
  <c r="E126" i="27"/>
  <c r="G120" i="40"/>
  <c r="D121" i="40"/>
  <c r="E121" i="40" s="1"/>
  <c r="G130" i="8"/>
  <c r="D131" i="8"/>
  <c r="E131" i="8"/>
  <c r="J126" i="23"/>
  <c r="J122" i="30"/>
  <c r="G130" i="6"/>
  <c r="D131" i="6"/>
  <c r="E131" i="6" s="1"/>
  <c r="G127" i="23"/>
  <c r="D128" i="23"/>
  <c r="E128" i="23"/>
  <c r="J131" i="7"/>
  <c r="J120" i="37"/>
  <c r="G124" i="29"/>
  <c r="D125" i="29"/>
  <c r="E125" i="29" s="1"/>
  <c r="G131" i="9"/>
  <c r="D132" i="9"/>
  <c r="E132" i="9"/>
  <c r="J124" i="27"/>
  <c r="J119" i="40"/>
  <c r="G129" i="4"/>
  <c r="D130" i="4"/>
  <c r="E130" i="4" s="1"/>
  <c r="G121" i="37"/>
  <c r="D122" i="37"/>
  <c r="E122" i="37"/>
  <c r="G126" i="24"/>
  <c r="D127" i="24"/>
  <c r="E127" i="24"/>
  <c r="G132" i="10"/>
  <c r="D133" i="10"/>
  <c r="E133" i="10" s="1"/>
  <c r="J130" i="11"/>
  <c r="J155" i="11" s="1"/>
  <c r="J123" i="28"/>
  <c r="J123" i="31"/>
  <c r="G129" i="5"/>
  <c r="D130" i="5"/>
  <c r="E130" i="5"/>
  <c r="G121" i="43"/>
  <c r="D122" i="43"/>
  <c r="E122" i="43"/>
  <c r="G128" i="22"/>
  <c r="D129" i="22"/>
  <c r="E129" i="22" s="1"/>
  <c r="G124" i="28"/>
  <c r="D125" i="28"/>
  <c r="E125" i="28" s="1"/>
  <c r="G124" i="31"/>
  <c r="D125" i="31"/>
  <c r="E125" i="31"/>
  <c r="G121" i="39"/>
  <c r="D122" i="39"/>
  <c r="E122" i="39"/>
  <c r="G129" i="3"/>
  <c r="D130" i="3"/>
  <c r="E130" i="3" s="1"/>
  <c r="G123" i="30"/>
  <c r="D124" i="30"/>
  <c r="E124" i="30" s="1"/>
  <c r="J125" i="24"/>
  <c r="J131" i="10"/>
  <c r="G131" i="11"/>
  <c r="D132" i="11"/>
  <c r="E132" i="11" s="1"/>
  <c r="J123" i="42" l="1"/>
  <c r="D125" i="42"/>
  <c r="G124" i="42"/>
  <c r="E125" i="38"/>
  <c r="F125" i="38" s="1"/>
  <c r="B125" i="38"/>
  <c r="G123" i="41"/>
  <c r="D124" i="41"/>
  <c r="B124" i="41" s="1"/>
  <c r="J123" i="38"/>
  <c r="H124" i="38"/>
  <c r="I124" i="38"/>
  <c r="F130" i="5"/>
  <c r="B130" i="5"/>
  <c r="B122" i="39"/>
  <c r="F122" i="39"/>
  <c r="H124" i="31"/>
  <c r="I124" i="31"/>
  <c r="B122" i="43"/>
  <c r="F122" i="43"/>
  <c r="H129" i="5"/>
  <c r="I129" i="5"/>
  <c r="B127" i="24"/>
  <c r="F127" i="24"/>
  <c r="H121" i="37"/>
  <c r="I121" i="37"/>
  <c r="I131" i="9"/>
  <c r="H131" i="9"/>
  <c r="I127" i="23"/>
  <c r="H127" i="23"/>
  <c r="H130" i="8"/>
  <c r="I130" i="8"/>
  <c r="B129" i="25"/>
  <c r="F129" i="25"/>
  <c r="I131" i="11"/>
  <c r="H131" i="11"/>
  <c r="H123" i="30"/>
  <c r="I123" i="30"/>
  <c r="B132" i="11"/>
  <c r="F132" i="11"/>
  <c r="B130" i="3"/>
  <c r="F130" i="3"/>
  <c r="H121" i="39"/>
  <c r="I121" i="39"/>
  <c r="B129" i="22"/>
  <c r="F129" i="22"/>
  <c r="H121" i="43"/>
  <c r="I121" i="43"/>
  <c r="B133" i="10"/>
  <c r="F133" i="10"/>
  <c r="H126" i="24"/>
  <c r="I126" i="24"/>
  <c r="B126" i="27"/>
  <c r="F126" i="27"/>
  <c r="I128" i="25"/>
  <c r="H128" i="25"/>
  <c r="B124" i="30"/>
  <c r="F124" i="30"/>
  <c r="H129" i="3"/>
  <c r="I129" i="3"/>
  <c r="B125" i="28"/>
  <c r="F125" i="28"/>
  <c r="H128" i="22"/>
  <c r="I128" i="22"/>
  <c r="H132" i="10"/>
  <c r="I132" i="10"/>
  <c r="B130" i="4"/>
  <c r="F130" i="4"/>
  <c r="B125" i="29"/>
  <c r="F125" i="29"/>
  <c r="B131" i="6"/>
  <c r="F131" i="6"/>
  <c r="B121" i="40"/>
  <c r="F121" i="40"/>
  <c r="H125" i="27"/>
  <c r="I125" i="27"/>
  <c r="B133" i="7"/>
  <c r="F133" i="7"/>
  <c r="B125" i="31"/>
  <c r="F125" i="31"/>
  <c r="H124" i="28"/>
  <c r="I124" i="28"/>
  <c r="B122" i="37"/>
  <c r="F122" i="37"/>
  <c r="H129" i="4"/>
  <c r="I129" i="4"/>
  <c r="B132" i="9"/>
  <c r="F132" i="9"/>
  <c r="H124" i="29"/>
  <c r="I124" i="29"/>
  <c r="B128" i="23"/>
  <c r="F128" i="23"/>
  <c r="H130" i="6"/>
  <c r="I130" i="6"/>
  <c r="B131" i="8"/>
  <c r="F131" i="8"/>
  <c r="H120" i="40"/>
  <c r="I120" i="40"/>
  <c r="H132" i="7"/>
  <c r="I132" i="7"/>
  <c r="J124" i="38" l="1"/>
  <c r="E124" i="41"/>
  <c r="F124" i="41" s="1"/>
  <c r="G124" i="41" s="1"/>
  <c r="D126" i="38"/>
  <c r="G125" i="38"/>
  <c r="D125" i="41"/>
  <c r="H123" i="41"/>
  <c r="I123" i="41"/>
  <c r="I124" i="42"/>
  <c r="H124" i="42"/>
  <c r="E125" i="42"/>
  <c r="F125" i="42" s="1"/>
  <c r="B125" i="42"/>
  <c r="J121" i="37"/>
  <c r="J129" i="5"/>
  <c r="J124" i="31"/>
  <c r="J120" i="40"/>
  <c r="J123" i="30"/>
  <c r="J128" i="25"/>
  <c r="J132" i="7"/>
  <c r="G131" i="8"/>
  <c r="D132" i="8"/>
  <c r="E132" i="8"/>
  <c r="G128" i="23"/>
  <c r="D129" i="23"/>
  <c r="E129" i="23" s="1"/>
  <c r="G132" i="9"/>
  <c r="D133" i="9"/>
  <c r="E133" i="9" s="1"/>
  <c r="G122" i="37"/>
  <c r="D123" i="37"/>
  <c r="E123" i="37" s="1"/>
  <c r="G125" i="31"/>
  <c r="D126" i="31"/>
  <c r="E126" i="31"/>
  <c r="J125" i="27"/>
  <c r="G131" i="6"/>
  <c r="D132" i="6"/>
  <c r="E132" i="6"/>
  <c r="G130" i="4"/>
  <c r="D131" i="4"/>
  <c r="E131" i="4" s="1"/>
  <c r="J128" i="22"/>
  <c r="J129" i="3"/>
  <c r="J126" i="24"/>
  <c r="J121" i="43"/>
  <c r="J121" i="39"/>
  <c r="G132" i="11"/>
  <c r="D133" i="11"/>
  <c r="E133" i="11" s="1"/>
  <c r="J130" i="8"/>
  <c r="G127" i="24"/>
  <c r="D128" i="24"/>
  <c r="E128" i="24" s="1"/>
  <c r="G122" i="43"/>
  <c r="D123" i="43"/>
  <c r="E123" i="43"/>
  <c r="G122" i="39"/>
  <c r="D123" i="39"/>
  <c r="E123" i="39" s="1"/>
  <c r="J130" i="6"/>
  <c r="J124" i="29"/>
  <c r="J129" i="4"/>
  <c r="J124" i="28"/>
  <c r="G133" i="7"/>
  <c r="D134" i="7"/>
  <c r="E134" i="7"/>
  <c r="G121" i="40"/>
  <c r="D122" i="40"/>
  <c r="E122" i="40" s="1"/>
  <c r="G125" i="29"/>
  <c r="D126" i="29"/>
  <c r="E126" i="29"/>
  <c r="J132" i="10"/>
  <c r="G125" i="28"/>
  <c r="D126" i="28"/>
  <c r="E126" i="28"/>
  <c r="G124" i="30"/>
  <c r="D125" i="30"/>
  <c r="E125" i="30"/>
  <c r="G126" i="27"/>
  <c r="D127" i="27"/>
  <c r="E127" i="27"/>
  <c r="G133" i="10"/>
  <c r="D134" i="10"/>
  <c r="E134" i="10" s="1"/>
  <c r="G129" i="22"/>
  <c r="D130" i="22"/>
  <c r="E130" i="22" s="1"/>
  <c r="G130" i="3"/>
  <c r="D131" i="3"/>
  <c r="E131" i="3"/>
  <c r="G129" i="25"/>
  <c r="D130" i="25"/>
  <c r="E130" i="25"/>
  <c r="J127" i="23"/>
  <c r="G130" i="5"/>
  <c r="D131" i="5"/>
  <c r="E131" i="5"/>
  <c r="J123" i="41" l="1"/>
  <c r="E125" i="41"/>
  <c r="B125" i="41"/>
  <c r="F125" i="41"/>
  <c r="J124" i="42"/>
  <c r="H124" i="41"/>
  <c r="I124" i="41"/>
  <c r="J124" i="41" s="1"/>
  <c r="G125" i="42"/>
  <c r="D126" i="42"/>
  <c r="I125" i="38"/>
  <c r="H125" i="38"/>
  <c r="E126" i="38"/>
  <c r="F126" i="38" s="1"/>
  <c r="B126" i="38"/>
  <c r="B131" i="5"/>
  <c r="F131" i="5"/>
  <c r="H130" i="3"/>
  <c r="I130" i="3"/>
  <c r="H130" i="5"/>
  <c r="I130" i="5"/>
  <c r="B131" i="3"/>
  <c r="F131" i="3"/>
  <c r="I129" i="22"/>
  <c r="H129" i="22"/>
  <c r="B125" i="30"/>
  <c r="F125" i="30"/>
  <c r="H125" i="28"/>
  <c r="I125" i="28"/>
  <c r="H125" i="29"/>
  <c r="I125" i="29"/>
  <c r="B123" i="39"/>
  <c r="F123" i="39"/>
  <c r="H122" i="43"/>
  <c r="I122" i="43"/>
  <c r="B123" i="37"/>
  <c r="F123" i="37"/>
  <c r="H132" i="9"/>
  <c r="I132" i="9"/>
  <c r="B130" i="25"/>
  <c r="F130" i="25"/>
  <c r="B127" i="27"/>
  <c r="F127" i="27"/>
  <c r="H124" i="30"/>
  <c r="I124" i="30"/>
  <c r="B134" i="7"/>
  <c r="F134" i="7"/>
  <c r="H122" i="39"/>
  <c r="I122" i="39"/>
  <c r="B132" i="6"/>
  <c r="F132" i="6"/>
  <c r="B126" i="31"/>
  <c r="F126" i="31"/>
  <c r="I122" i="37"/>
  <c r="H122" i="37"/>
  <c r="B132" i="8"/>
  <c r="F132" i="8"/>
  <c r="B134" i="10"/>
  <c r="F134" i="10"/>
  <c r="I126" i="27"/>
  <c r="H126" i="27"/>
  <c r="B122" i="40"/>
  <c r="F122" i="40"/>
  <c r="H133" i="7"/>
  <c r="I133" i="7"/>
  <c r="B128" i="24"/>
  <c r="F128" i="24"/>
  <c r="B133" i="11"/>
  <c r="F133" i="11"/>
  <c r="B131" i="4"/>
  <c r="F131" i="4"/>
  <c r="H131" i="6"/>
  <c r="I131" i="6"/>
  <c r="I125" i="31"/>
  <c r="H125" i="31"/>
  <c r="B129" i="23"/>
  <c r="F129" i="23"/>
  <c r="H131" i="8"/>
  <c r="I131" i="8"/>
  <c r="H129" i="25"/>
  <c r="I129" i="25"/>
  <c r="B130" i="22"/>
  <c r="F130" i="22"/>
  <c r="H133" i="10"/>
  <c r="I133" i="10"/>
  <c r="B126" i="28"/>
  <c r="F126" i="28"/>
  <c r="B126" i="29"/>
  <c r="F126" i="29"/>
  <c r="H121" i="40"/>
  <c r="I121" i="40"/>
  <c r="B123" i="43"/>
  <c r="F123" i="43"/>
  <c r="I127" i="24"/>
  <c r="H127" i="24"/>
  <c r="I132" i="11"/>
  <c r="H132" i="11"/>
  <c r="H130" i="4"/>
  <c r="I130" i="4"/>
  <c r="B133" i="9"/>
  <c r="F133" i="9"/>
  <c r="H128" i="23"/>
  <c r="I128" i="23"/>
  <c r="D127" i="38" l="1"/>
  <c r="G126" i="38"/>
  <c r="E126" i="42"/>
  <c r="F126" i="42" s="1"/>
  <c r="B126" i="42"/>
  <c r="I125" i="42"/>
  <c r="H125" i="42"/>
  <c r="D126" i="41"/>
  <c r="G125" i="41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D127" i="28"/>
  <c r="E127" i="28" s="1"/>
  <c r="G130" i="22"/>
  <c r="D131" i="22"/>
  <c r="E131" i="22"/>
  <c r="J131" i="8"/>
  <c r="G131" i="4"/>
  <c r="D132" i="4"/>
  <c r="E132" i="4"/>
  <c r="G128" i="24"/>
  <c r="D129" i="24"/>
  <c r="E129" i="24"/>
  <c r="G122" i="40"/>
  <c r="D123" i="40"/>
  <c r="E123" i="40" s="1"/>
  <c r="G134" i="10"/>
  <c r="D135" i="10"/>
  <c r="E135" i="10" s="1"/>
  <c r="G132" i="6"/>
  <c r="D133" i="6"/>
  <c r="E133" i="6" s="1"/>
  <c r="G134" i="7"/>
  <c r="D135" i="7"/>
  <c r="E135" i="7"/>
  <c r="G127" i="27"/>
  <c r="D128" i="27"/>
  <c r="E128" i="27" s="1"/>
  <c r="J122" i="43"/>
  <c r="J125" i="29"/>
  <c r="G125" i="30"/>
  <c r="D126" i="30"/>
  <c r="E126" i="30"/>
  <c r="G131" i="3"/>
  <c r="D132" i="3"/>
  <c r="E132" i="3" s="1"/>
  <c r="G133" i="9"/>
  <c r="D134" i="9"/>
  <c r="E134" i="9" s="1"/>
  <c r="G123" i="43"/>
  <c r="D124" i="43"/>
  <c r="E124" i="43"/>
  <c r="G126" i="29"/>
  <c r="D127" i="29"/>
  <c r="E127" i="29"/>
  <c r="J129" i="25"/>
  <c r="G129" i="23"/>
  <c r="D130" i="23"/>
  <c r="E130" i="23"/>
  <c r="J131" i="6"/>
  <c r="G133" i="11"/>
  <c r="D134" i="11"/>
  <c r="E134" i="11"/>
  <c r="J133" i="7"/>
  <c r="G132" i="8"/>
  <c r="D133" i="8"/>
  <c r="E133" i="8"/>
  <c r="G126" i="31"/>
  <c r="D127" i="31"/>
  <c r="E127" i="31" s="1"/>
  <c r="G130" i="25"/>
  <c r="D131" i="25"/>
  <c r="E131" i="25" s="1"/>
  <c r="G123" i="37"/>
  <c r="D124" i="37"/>
  <c r="E124" i="37" s="1"/>
  <c r="G123" i="39"/>
  <c r="D124" i="39"/>
  <c r="E124" i="39"/>
  <c r="J125" i="28"/>
  <c r="J130" i="5"/>
  <c r="G131" i="5"/>
  <c r="D132" i="5"/>
  <c r="E132" i="5" s="1"/>
  <c r="D127" i="42" l="1"/>
  <c r="B127" i="42" s="1"/>
  <c r="G126" i="42"/>
  <c r="E126" i="41"/>
  <c r="F126" i="41" s="1"/>
  <c r="B126" i="41"/>
  <c r="J125" i="42"/>
  <c r="I126" i="38"/>
  <c r="H126" i="38"/>
  <c r="I125" i="41"/>
  <c r="H125" i="41"/>
  <c r="E127" i="38"/>
  <c r="F127" i="38" s="1"/>
  <c r="B127" i="38"/>
  <c r="B132" i="5"/>
  <c r="F132" i="5"/>
  <c r="B124" i="37"/>
  <c r="F124" i="37"/>
  <c r="H130" i="25"/>
  <c r="I130" i="25"/>
  <c r="B124" i="43"/>
  <c r="F124" i="43"/>
  <c r="H133" i="9"/>
  <c r="I133" i="9"/>
  <c r="B133" i="6"/>
  <c r="F133" i="6"/>
  <c r="H134" i="10"/>
  <c r="I134" i="10"/>
  <c r="B132" i="4"/>
  <c r="F132" i="4"/>
  <c r="B131" i="22"/>
  <c r="F131" i="22"/>
  <c r="H126" i="28"/>
  <c r="I126" i="28"/>
  <c r="H131" i="5"/>
  <c r="I131" i="5"/>
  <c r="B133" i="8"/>
  <c r="F133" i="8"/>
  <c r="B134" i="11"/>
  <c r="F134" i="11"/>
  <c r="B130" i="23"/>
  <c r="F130" i="23"/>
  <c r="B127" i="29"/>
  <c r="F127" i="29"/>
  <c r="I123" i="43"/>
  <c r="H123" i="43"/>
  <c r="B126" i="30"/>
  <c r="F126" i="30"/>
  <c r="B135" i="7"/>
  <c r="F135" i="7"/>
  <c r="H132" i="6"/>
  <c r="I132" i="6"/>
  <c r="B129" i="24"/>
  <c r="F129" i="24"/>
  <c r="H131" i="4"/>
  <c r="I131" i="4"/>
  <c r="H130" i="22"/>
  <c r="I130" i="22"/>
  <c r="B124" i="39"/>
  <c r="F124" i="39"/>
  <c r="H123" i="39"/>
  <c r="I123" i="39"/>
  <c r="B127" i="31"/>
  <c r="F127" i="31"/>
  <c r="H132" i="8"/>
  <c r="I132" i="8"/>
  <c r="H133" i="11"/>
  <c r="I133" i="11"/>
  <c r="H129" i="23"/>
  <c r="I129" i="23"/>
  <c r="H126" i="29"/>
  <c r="I126" i="29"/>
  <c r="B132" i="3"/>
  <c r="F132" i="3"/>
  <c r="I125" i="30"/>
  <c r="H125" i="30"/>
  <c r="B128" i="27"/>
  <c r="F128" i="27"/>
  <c r="H134" i="7"/>
  <c r="I134" i="7"/>
  <c r="B123" i="40"/>
  <c r="F123" i="40"/>
  <c r="I128" i="24"/>
  <c r="H128" i="24"/>
  <c r="H123" i="37"/>
  <c r="I123" i="37"/>
  <c r="B131" i="25"/>
  <c r="F131" i="25"/>
  <c r="I126" i="31"/>
  <c r="H126" i="31"/>
  <c r="B134" i="9"/>
  <c r="F134" i="9"/>
  <c r="H131" i="3"/>
  <c r="I131" i="3"/>
  <c r="H127" i="27"/>
  <c r="I127" i="27"/>
  <c r="B135" i="10"/>
  <c r="F135" i="10"/>
  <c r="H122" i="40"/>
  <c r="I122" i="40"/>
  <c r="B127" i="28"/>
  <c r="F127" i="28"/>
  <c r="J126" i="38" l="1"/>
  <c r="E127" i="42"/>
  <c r="F127" i="42" s="1"/>
  <c r="D128" i="42" s="1"/>
  <c r="B128" i="42" s="1"/>
  <c r="G126" i="41"/>
  <c r="D127" i="41"/>
  <c r="B127" i="41" s="1"/>
  <c r="G127" i="38"/>
  <c r="D128" i="38"/>
  <c r="B128" i="38" s="1"/>
  <c r="E128" i="38"/>
  <c r="G127" i="42"/>
  <c r="J125" i="41"/>
  <c r="I126" i="42"/>
  <c r="H126" i="42"/>
  <c r="J125" i="30"/>
  <c r="J126" i="31"/>
  <c r="J123" i="43"/>
  <c r="J122" i="40"/>
  <c r="J131" i="4"/>
  <c r="J127" i="27"/>
  <c r="J134" i="7"/>
  <c r="J128" i="24"/>
  <c r="G127" i="28"/>
  <c r="D128" i="28"/>
  <c r="E128" i="28" s="1"/>
  <c r="G135" i="10"/>
  <c r="D136" i="10"/>
  <c r="E136" i="10"/>
  <c r="J131" i="3"/>
  <c r="J123" i="37"/>
  <c r="G123" i="40"/>
  <c r="D124" i="40"/>
  <c r="E124" i="40" s="1"/>
  <c r="G128" i="27"/>
  <c r="D129" i="27"/>
  <c r="E129" i="27"/>
  <c r="G132" i="3"/>
  <c r="D133" i="3"/>
  <c r="E133" i="3"/>
  <c r="J129" i="23"/>
  <c r="J132" i="8"/>
  <c r="J123" i="39"/>
  <c r="J130" i="22"/>
  <c r="J155" i="22" s="1"/>
  <c r="G129" i="24"/>
  <c r="D130" i="24"/>
  <c r="E130" i="24"/>
  <c r="G135" i="7"/>
  <c r="D136" i="7"/>
  <c r="E136" i="7" s="1"/>
  <c r="G130" i="23"/>
  <c r="D131" i="23"/>
  <c r="E131" i="23"/>
  <c r="G133" i="8"/>
  <c r="D134" i="8"/>
  <c r="E134" i="8"/>
  <c r="J126" i="28"/>
  <c r="G132" i="4"/>
  <c r="D133" i="4"/>
  <c r="E133" i="4"/>
  <c r="G133" i="6"/>
  <c r="D134" i="6"/>
  <c r="E134" i="6"/>
  <c r="G124" i="43"/>
  <c r="D125" i="43"/>
  <c r="E125" i="43" s="1"/>
  <c r="G124" i="37"/>
  <c r="D125" i="37"/>
  <c r="E125" i="37"/>
  <c r="G134" i="9"/>
  <c r="D135" i="9"/>
  <c r="E135" i="9"/>
  <c r="D132" i="25"/>
  <c r="E132" i="25" s="1"/>
  <c r="G131" i="25"/>
  <c r="J126" i="29"/>
  <c r="G127" i="31"/>
  <c r="D128" i="31"/>
  <c r="E128" i="31"/>
  <c r="G124" i="39"/>
  <c r="D125" i="39"/>
  <c r="E125" i="39" s="1"/>
  <c r="J132" i="6"/>
  <c r="G126" i="30"/>
  <c r="D127" i="30"/>
  <c r="E127" i="30" s="1"/>
  <c r="G127" i="29"/>
  <c r="D128" i="29"/>
  <c r="E128" i="29"/>
  <c r="G134" i="11"/>
  <c r="D135" i="11"/>
  <c r="E135" i="11"/>
  <c r="J131" i="5"/>
  <c r="G131" i="22"/>
  <c r="D132" i="22"/>
  <c r="E132" i="22"/>
  <c r="J134" i="10"/>
  <c r="J130" i="25"/>
  <c r="G132" i="5"/>
  <c r="D133" i="5"/>
  <c r="E133" i="5"/>
  <c r="F128" i="38" l="1"/>
  <c r="E128" i="42"/>
  <c r="F128" i="42" s="1"/>
  <c r="E127" i="41"/>
  <c r="F127" i="41" s="1"/>
  <c r="G127" i="41" s="1"/>
  <c r="I127" i="38"/>
  <c r="H127" i="38"/>
  <c r="J126" i="42"/>
  <c r="I127" i="42"/>
  <c r="H127" i="42"/>
  <c r="G128" i="38"/>
  <c r="D129" i="38"/>
  <c r="I126" i="41"/>
  <c r="H126" i="41"/>
  <c r="I132" i="5"/>
  <c r="H132" i="5"/>
  <c r="B135" i="11"/>
  <c r="F135" i="11"/>
  <c r="H127" i="29"/>
  <c r="I127" i="29"/>
  <c r="B135" i="9"/>
  <c r="F135" i="9"/>
  <c r="H124" i="37"/>
  <c r="I124" i="37"/>
  <c r="B133" i="4"/>
  <c r="F133" i="4"/>
  <c r="B134" i="8"/>
  <c r="F134" i="8"/>
  <c r="H130" i="23"/>
  <c r="I130" i="23"/>
  <c r="B133" i="3"/>
  <c r="F133" i="3"/>
  <c r="H128" i="27"/>
  <c r="I128" i="27"/>
  <c r="H135" i="10"/>
  <c r="I135" i="10"/>
  <c r="B133" i="5"/>
  <c r="F133" i="5"/>
  <c r="B132" i="22"/>
  <c r="F132" i="22"/>
  <c r="I131" i="22"/>
  <c r="H131" i="22"/>
  <c r="I134" i="11"/>
  <c r="H134" i="11"/>
  <c r="B128" i="31"/>
  <c r="F128" i="31"/>
  <c r="H131" i="25"/>
  <c r="I131" i="25"/>
  <c r="I134" i="9"/>
  <c r="H134" i="9"/>
  <c r="B134" i="6"/>
  <c r="F134" i="6"/>
  <c r="I132" i="4"/>
  <c r="H132" i="4"/>
  <c r="I133" i="8"/>
  <c r="H133" i="8"/>
  <c r="B130" i="24"/>
  <c r="F130" i="24"/>
  <c r="I132" i="3"/>
  <c r="H132" i="3"/>
  <c r="B127" i="30"/>
  <c r="F127" i="30"/>
  <c r="B125" i="39"/>
  <c r="F125" i="39"/>
  <c r="H127" i="31"/>
  <c r="I127" i="31"/>
  <c r="B132" i="25"/>
  <c r="F132" i="25"/>
  <c r="B125" i="43"/>
  <c r="F125" i="43"/>
  <c r="H133" i="6"/>
  <c r="I133" i="6"/>
  <c r="B136" i="7"/>
  <c r="F136" i="7"/>
  <c r="H129" i="24"/>
  <c r="I129" i="24"/>
  <c r="B124" i="40"/>
  <c r="F124" i="40"/>
  <c r="B128" i="28"/>
  <c r="F128" i="28"/>
  <c r="B128" i="29"/>
  <c r="F128" i="29"/>
  <c r="H126" i="30"/>
  <c r="I126" i="30"/>
  <c r="I124" i="39"/>
  <c r="H124" i="39"/>
  <c r="B125" i="37"/>
  <c r="F125" i="37"/>
  <c r="I124" i="43"/>
  <c r="H124" i="43"/>
  <c r="B131" i="23"/>
  <c r="F131" i="23"/>
  <c r="H135" i="7"/>
  <c r="I135" i="7"/>
  <c r="B129" i="27"/>
  <c r="F129" i="27"/>
  <c r="H123" i="40"/>
  <c r="I123" i="40"/>
  <c r="B136" i="10"/>
  <c r="F136" i="10"/>
  <c r="H127" i="28"/>
  <c r="I127" i="28"/>
  <c r="D129" i="42" l="1"/>
  <c r="G128" i="42"/>
  <c r="I128" i="42" s="1"/>
  <c r="D128" i="41"/>
  <c r="B128" i="41" s="1"/>
  <c r="E128" i="41"/>
  <c r="J127" i="42"/>
  <c r="E129" i="42"/>
  <c r="B129" i="42"/>
  <c r="H128" i="42"/>
  <c r="H127" i="41"/>
  <c r="I127" i="41"/>
  <c r="E129" i="38"/>
  <c r="F129" i="38" s="1"/>
  <c r="B129" i="38"/>
  <c r="J126" i="41"/>
  <c r="H128" i="38"/>
  <c r="I128" i="38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D129" i="29"/>
  <c r="E129" i="29" s="1"/>
  <c r="G124" i="40"/>
  <c r="D125" i="40"/>
  <c r="E125" i="40"/>
  <c r="G136" i="7"/>
  <c r="D137" i="7"/>
  <c r="E137" i="7" s="1"/>
  <c r="G125" i="43"/>
  <c r="D126" i="43"/>
  <c r="E126" i="43"/>
  <c r="J127" i="31"/>
  <c r="G127" i="30"/>
  <c r="D128" i="30"/>
  <c r="E128" i="30"/>
  <c r="G130" i="24"/>
  <c r="D131" i="24"/>
  <c r="E131" i="24" s="1"/>
  <c r="G128" i="31"/>
  <c r="D129" i="31"/>
  <c r="E129" i="31"/>
  <c r="G133" i="5"/>
  <c r="D134" i="5"/>
  <c r="E134" i="5" s="1"/>
  <c r="J128" i="27"/>
  <c r="J130" i="23"/>
  <c r="J155" i="23" s="1"/>
  <c r="G133" i="4"/>
  <c r="D134" i="4"/>
  <c r="E134" i="4"/>
  <c r="G135" i="9"/>
  <c r="D136" i="9"/>
  <c r="E136" i="9" s="1"/>
  <c r="D136" i="11"/>
  <c r="G135" i="11"/>
  <c r="E136" i="11"/>
  <c r="G136" i="10"/>
  <c r="D137" i="10"/>
  <c r="E137" i="10"/>
  <c r="G129" i="27"/>
  <c r="D130" i="27"/>
  <c r="E130" i="27"/>
  <c r="G131" i="23"/>
  <c r="D132" i="23"/>
  <c r="E132" i="23" s="1"/>
  <c r="G125" i="37"/>
  <c r="D126" i="37"/>
  <c r="E126" i="37"/>
  <c r="J126" i="30"/>
  <c r="G128" i="28"/>
  <c r="D129" i="28"/>
  <c r="E129" i="28"/>
  <c r="J129" i="24"/>
  <c r="J133" i="6"/>
  <c r="G132" i="25"/>
  <c r="D133" i="25"/>
  <c r="E133" i="25" s="1"/>
  <c r="G125" i="39"/>
  <c r="D126" i="39"/>
  <c r="E126" i="39"/>
  <c r="G134" i="6"/>
  <c r="D135" i="6"/>
  <c r="E135" i="6"/>
  <c r="J131" i="25"/>
  <c r="G132" i="22"/>
  <c r="D133" i="22"/>
  <c r="E133" i="22"/>
  <c r="J135" i="10"/>
  <c r="G133" i="3"/>
  <c r="D134" i="3"/>
  <c r="E134" i="3"/>
  <c r="G134" i="8"/>
  <c r="D135" i="8"/>
  <c r="E135" i="8"/>
  <c r="J132" i="5"/>
  <c r="F128" i="41" l="1"/>
  <c r="G128" i="41" s="1"/>
  <c r="F129" i="42"/>
  <c r="D129" i="41"/>
  <c r="J128" i="38"/>
  <c r="J128" i="42"/>
  <c r="E129" i="41"/>
  <c r="B129" i="41"/>
  <c r="G129" i="38"/>
  <c r="D130" i="38"/>
  <c r="G129" i="42"/>
  <c r="D130" i="42"/>
  <c r="J127" i="41"/>
  <c r="I128" i="41"/>
  <c r="H128" i="41"/>
  <c r="B135" i="8"/>
  <c r="F135" i="8"/>
  <c r="H133" i="3"/>
  <c r="I133" i="3"/>
  <c r="I132" i="22"/>
  <c r="H132" i="22"/>
  <c r="H134" i="6"/>
  <c r="I134" i="6"/>
  <c r="B130" i="27"/>
  <c r="F130" i="27"/>
  <c r="H136" i="10"/>
  <c r="I136" i="10"/>
  <c r="B134" i="4"/>
  <c r="F134" i="4"/>
  <c r="B129" i="31"/>
  <c r="F129" i="31"/>
  <c r="H130" i="24"/>
  <c r="I130" i="24"/>
  <c r="B125" i="40"/>
  <c r="F125" i="40"/>
  <c r="I128" i="29"/>
  <c r="H128" i="29"/>
  <c r="H134" i="8"/>
  <c r="I134" i="8"/>
  <c r="B133" i="25"/>
  <c r="F133" i="25"/>
  <c r="B132" i="23"/>
  <c r="F132" i="23"/>
  <c r="H129" i="27"/>
  <c r="I129" i="27"/>
  <c r="B136" i="9"/>
  <c r="F136" i="9"/>
  <c r="H133" i="4"/>
  <c r="I133" i="4"/>
  <c r="B134" i="5"/>
  <c r="F134" i="5"/>
  <c r="H128" i="31"/>
  <c r="I128" i="31"/>
  <c r="B137" i="7"/>
  <c r="F137" i="7"/>
  <c r="H124" i="40"/>
  <c r="I124" i="40"/>
  <c r="B126" i="39"/>
  <c r="F126" i="39"/>
  <c r="H132" i="25"/>
  <c r="I132" i="25"/>
  <c r="B129" i="28"/>
  <c r="F129" i="28"/>
  <c r="B126" i="37"/>
  <c r="F126" i="37"/>
  <c r="I131" i="23"/>
  <c r="H131" i="23"/>
  <c r="I135" i="11"/>
  <c r="H135" i="11"/>
  <c r="I135" i="9"/>
  <c r="H135" i="9"/>
  <c r="H133" i="5"/>
  <c r="I133" i="5"/>
  <c r="B128" i="30"/>
  <c r="F128" i="30"/>
  <c r="B126" i="43"/>
  <c r="F126" i="43"/>
  <c r="H136" i="7"/>
  <c r="I136" i="7"/>
  <c r="B134" i="3"/>
  <c r="F134" i="3"/>
  <c r="B133" i="22"/>
  <c r="F133" i="22"/>
  <c r="B135" i="6"/>
  <c r="F135" i="6"/>
  <c r="H125" i="39"/>
  <c r="I125" i="39"/>
  <c r="H128" i="28"/>
  <c r="I128" i="28"/>
  <c r="H125" i="37"/>
  <c r="I125" i="37"/>
  <c r="B137" i="10"/>
  <c r="F137" i="10"/>
  <c r="B136" i="11"/>
  <c r="F136" i="11"/>
  <c r="B131" i="24"/>
  <c r="F131" i="24"/>
  <c r="H127" i="30"/>
  <c r="I127" i="30"/>
  <c r="I125" i="43"/>
  <c r="H125" i="43"/>
  <c r="B129" i="29"/>
  <c r="F129" i="29"/>
  <c r="F129" i="41" l="1"/>
  <c r="H129" i="38"/>
  <c r="I129" i="38"/>
  <c r="J129" i="38" s="1"/>
  <c r="E130" i="42"/>
  <c r="F130" i="42" s="1"/>
  <c r="B130" i="42"/>
  <c r="G129" i="41"/>
  <c r="D130" i="41"/>
  <c r="I129" i="42"/>
  <c r="H129" i="42"/>
  <c r="J128" i="41"/>
  <c r="E130" i="38"/>
  <c r="F130" i="38" s="1"/>
  <c r="B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D132" i="24"/>
  <c r="E132" i="24"/>
  <c r="D135" i="3"/>
  <c r="E135" i="3" s="1"/>
  <c r="G134" i="3"/>
  <c r="G126" i="37"/>
  <c r="D127" i="37"/>
  <c r="E127" i="37"/>
  <c r="G129" i="29"/>
  <c r="D130" i="29"/>
  <c r="E130" i="29"/>
  <c r="J127" i="30"/>
  <c r="G136" i="11"/>
  <c r="D137" i="11"/>
  <c r="E137" i="11"/>
  <c r="J125" i="37"/>
  <c r="J125" i="39"/>
  <c r="G133" i="22"/>
  <c r="D134" i="22"/>
  <c r="E134" i="22"/>
  <c r="J136" i="7"/>
  <c r="G128" i="30"/>
  <c r="D129" i="30"/>
  <c r="E129" i="30"/>
  <c r="G129" i="28"/>
  <c r="D130" i="28"/>
  <c r="E130" i="28"/>
  <c r="G126" i="39"/>
  <c r="D127" i="39"/>
  <c r="E127" i="39"/>
  <c r="G137" i="7"/>
  <c r="D138" i="7"/>
  <c r="E138" i="7" s="1"/>
  <c r="G134" i="5"/>
  <c r="D135" i="5"/>
  <c r="E135" i="5"/>
  <c r="G136" i="9"/>
  <c r="D137" i="9"/>
  <c r="E137" i="9"/>
  <c r="G132" i="23"/>
  <c r="D133" i="23"/>
  <c r="E133" i="23"/>
  <c r="J134" i="8"/>
  <c r="G125" i="40"/>
  <c r="D126" i="40"/>
  <c r="E126" i="40"/>
  <c r="G129" i="31"/>
  <c r="D130" i="31"/>
  <c r="E130" i="31" s="1"/>
  <c r="G137" i="10"/>
  <c r="D138" i="10"/>
  <c r="E138" i="10"/>
  <c r="G135" i="6"/>
  <c r="D136" i="6"/>
  <c r="E136" i="6"/>
  <c r="G126" i="43"/>
  <c r="D127" i="43"/>
  <c r="E127" i="43"/>
  <c r="G134" i="4"/>
  <c r="D135" i="4"/>
  <c r="E135" i="4" s="1"/>
  <c r="G130" i="27"/>
  <c r="D131" i="27"/>
  <c r="E131" i="27"/>
  <c r="G135" i="8"/>
  <c r="D136" i="8"/>
  <c r="E136" i="8"/>
  <c r="G133" i="25"/>
  <c r="D134" i="25"/>
  <c r="E134" i="25"/>
  <c r="J125" i="43"/>
  <c r="J128" i="29"/>
  <c r="J129" i="42" l="1"/>
  <c r="G130" i="38"/>
  <c r="D131" i="38"/>
  <c r="B131" i="38" s="1"/>
  <c r="E131" i="38"/>
  <c r="E130" i="41"/>
  <c r="F130" i="41" s="1"/>
  <c r="B130" i="41"/>
  <c r="H129" i="41"/>
  <c r="I129" i="41"/>
  <c r="G130" i="42"/>
  <c r="D131" i="42"/>
  <c r="B131" i="42" s="1"/>
  <c r="E131" i="42"/>
  <c r="I134" i="4"/>
  <c r="H134" i="4"/>
  <c r="B138" i="10"/>
  <c r="F138" i="10"/>
  <c r="I129" i="31"/>
  <c r="H129" i="31"/>
  <c r="B135" i="5"/>
  <c r="F135" i="5"/>
  <c r="H137" i="7"/>
  <c r="I137" i="7"/>
  <c r="B129" i="30"/>
  <c r="F129" i="30"/>
  <c r="B134" i="22"/>
  <c r="F134" i="22"/>
  <c r="B127" i="37"/>
  <c r="F127" i="37"/>
  <c r="B135" i="3"/>
  <c r="F135" i="3"/>
  <c r="B136" i="8"/>
  <c r="F136" i="8"/>
  <c r="H130" i="27"/>
  <c r="I130" i="27"/>
  <c r="B136" i="6"/>
  <c r="F136" i="6"/>
  <c r="I137" i="10"/>
  <c r="H137" i="10"/>
  <c r="B137" i="9"/>
  <c r="F137" i="9"/>
  <c r="H134" i="5"/>
  <c r="I134" i="5"/>
  <c r="B130" i="28"/>
  <c r="F130" i="28"/>
  <c r="H128" i="30"/>
  <c r="I128" i="30"/>
  <c r="H133" i="22"/>
  <c r="I133" i="22"/>
  <c r="B137" i="11"/>
  <c r="F137" i="11"/>
  <c r="B130" i="29"/>
  <c r="F130" i="29"/>
  <c r="I126" i="37"/>
  <c r="H126" i="37"/>
  <c r="H135" i="8"/>
  <c r="I135" i="8"/>
  <c r="B127" i="43"/>
  <c r="F127" i="43"/>
  <c r="H135" i="6"/>
  <c r="I135" i="6"/>
  <c r="B126" i="40"/>
  <c r="F126" i="40"/>
  <c r="B133" i="23"/>
  <c r="F133" i="23"/>
  <c r="H136" i="9"/>
  <c r="I136" i="9"/>
  <c r="B127" i="39"/>
  <c r="F127" i="39"/>
  <c r="H129" i="28"/>
  <c r="I129" i="28"/>
  <c r="H136" i="11"/>
  <c r="I136" i="11"/>
  <c r="H129" i="29"/>
  <c r="I129" i="29"/>
  <c r="B132" i="24"/>
  <c r="F132" i="24"/>
  <c r="B131" i="27"/>
  <c r="F131" i="27"/>
  <c r="B134" i="25"/>
  <c r="F134" i="25"/>
  <c r="H133" i="25"/>
  <c r="I133" i="25"/>
  <c r="B135" i="4"/>
  <c r="F135" i="4"/>
  <c r="H126" i="43"/>
  <c r="I126" i="43"/>
  <c r="B130" i="31"/>
  <c r="F130" i="31"/>
  <c r="I125" i="40"/>
  <c r="H125" i="40"/>
  <c r="I132" i="23"/>
  <c r="H132" i="23"/>
  <c r="B138" i="7"/>
  <c r="F138" i="7"/>
  <c r="H126" i="39"/>
  <c r="I126" i="39"/>
  <c r="H134" i="3"/>
  <c r="I134" i="3"/>
  <c r="H131" i="24"/>
  <c r="I131" i="24"/>
  <c r="J129" i="41" l="1"/>
  <c r="F131" i="38"/>
  <c r="E132" i="38" s="1"/>
  <c r="G130" i="41"/>
  <c r="D131" i="41"/>
  <c r="B131" i="41" s="1"/>
  <c r="E131" i="41"/>
  <c r="F131" i="42"/>
  <c r="G131" i="38"/>
  <c r="D132" i="38"/>
  <c r="B132" i="38" s="1"/>
  <c r="H130" i="42"/>
  <c r="I130" i="42"/>
  <c r="I130" i="38"/>
  <c r="H130" i="38"/>
  <c r="J137" i="7"/>
  <c r="J125" i="40"/>
  <c r="J128" i="30"/>
  <c r="J134" i="5"/>
  <c r="J126" i="39"/>
  <c r="G130" i="31"/>
  <c r="D131" i="31"/>
  <c r="E131" i="31" s="1"/>
  <c r="G135" i="4"/>
  <c r="D136" i="4"/>
  <c r="E136" i="4"/>
  <c r="G134" i="25"/>
  <c r="D135" i="25"/>
  <c r="E135" i="25" s="1"/>
  <c r="D133" i="24"/>
  <c r="G132" i="24"/>
  <c r="E133" i="24"/>
  <c r="G127" i="39"/>
  <c r="D128" i="39"/>
  <c r="E128" i="39" s="1"/>
  <c r="G133" i="23"/>
  <c r="D134" i="23"/>
  <c r="E134" i="23"/>
  <c r="J135" i="6"/>
  <c r="J135" i="8"/>
  <c r="G130" i="29"/>
  <c r="D131" i="29"/>
  <c r="E131" i="29" s="1"/>
  <c r="G130" i="28"/>
  <c r="D131" i="28"/>
  <c r="E131" i="28"/>
  <c r="D138" i="9"/>
  <c r="E138" i="9" s="1"/>
  <c r="G137" i="9"/>
  <c r="G136" i="6"/>
  <c r="D137" i="6"/>
  <c r="E137" i="6"/>
  <c r="G136" i="8"/>
  <c r="D137" i="8"/>
  <c r="E137" i="8" s="1"/>
  <c r="G127" i="37"/>
  <c r="D128" i="37"/>
  <c r="E128" i="37"/>
  <c r="G129" i="30"/>
  <c r="D130" i="30"/>
  <c r="E130" i="30" s="1"/>
  <c r="G135" i="5"/>
  <c r="D136" i="5"/>
  <c r="E136" i="5"/>
  <c r="G138" i="10"/>
  <c r="D139" i="10"/>
  <c r="E139" i="10" s="1"/>
  <c r="J134" i="3"/>
  <c r="G138" i="7"/>
  <c r="D139" i="7"/>
  <c r="E139" i="7" s="1"/>
  <c r="J126" i="43"/>
  <c r="G131" i="27"/>
  <c r="D132" i="27"/>
  <c r="E132" i="27" s="1"/>
  <c r="J129" i="29"/>
  <c r="J129" i="28"/>
  <c r="G126" i="40"/>
  <c r="D127" i="40"/>
  <c r="E127" i="40"/>
  <c r="G127" i="43"/>
  <c r="D128" i="43"/>
  <c r="E128" i="43" s="1"/>
  <c r="D138" i="11"/>
  <c r="E138" i="11" s="1"/>
  <c r="G137" i="11"/>
  <c r="J130" i="27"/>
  <c r="G135" i="3"/>
  <c r="D136" i="3"/>
  <c r="E136" i="3"/>
  <c r="G134" i="22"/>
  <c r="D135" i="22"/>
  <c r="E135" i="22" s="1"/>
  <c r="J126" i="37"/>
  <c r="J137" i="10"/>
  <c r="J129" i="31"/>
  <c r="J134" i="4"/>
  <c r="F131" i="41" l="1"/>
  <c r="J130" i="38"/>
  <c r="J155" i="38" s="1"/>
  <c r="F132" i="38"/>
  <c r="D132" i="41"/>
  <c r="B132" i="41" s="1"/>
  <c r="G131" i="41"/>
  <c r="G131" i="42"/>
  <c r="D132" i="42"/>
  <c r="J130" i="42"/>
  <c r="J155" i="42" s="1"/>
  <c r="H131" i="38"/>
  <c r="I131" i="38"/>
  <c r="H130" i="41"/>
  <c r="I130" i="41"/>
  <c r="J130" i="41" s="1"/>
  <c r="J155" i="41" s="1"/>
  <c r="B136" i="3"/>
  <c r="F136" i="3"/>
  <c r="H127" i="43"/>
  <c r="I127" i="43"/>
  <c r="H131" i="27"/>
  <c r="I131" i="27"/>
  <c r="B128" i="37"/>
  <c r="F128" i="37"/>
  <c r="H136" i="8"/>
  <c r="I136" i="8"/>
  <c r="B134" i="23"/>
  <c r="F134" i="23"/>
  <c r="I127" i="39"/>
  <c r="H127" i="39"/>
  <c r="B135" i="22"/>
  <c r="F135" i="22"/>
  <c r="H135" i="3"/>
  <c r="I135" i="3"/>
  <c r="B130" i="30"/>
  <c r="F130" i="30"/>
  <c r="H137" i="9"/>
  <c r="I137" i="9"/>
  <c r="H133" i="23"/>
  <c r="I133" i="23"/>
  <c r="B135" i="25"/>
  <c r="F135" i="25"/>
  <c r="I135" i="4"/>
  <c r="H135" i="4"/>
  <c r="I134" i="22"/>
  <c r="H134" i="22"/>
  <c r="B127" i="40"/>
  <c r="F127" i="40"/>
  <c r="B136" i="5"/>
  <c r="F136" i="5"/>
  <c r="H129" i="30"/>
  <c r="I129" i="30"/>
  <c r="B137" i="6"/>
  <c r="F137" i="6"/>
  <c r="B138" i="9"/>
  <c r="F138" i="9"/>
  <c r="H132" i="24"/>
  <c r="I132" i="24"/>
  <c r="I134" i="25"/>
  <c r="H134" i="25"/>
  <c r="I137" i="11"/>
  <c r="H137" i="11"/>
  <c r="H138" i="7"/>
  <c r="I138" i="7"/>
  <c r="H138" i="10"/>
  <c r="I138" i="10"/>
  <c r="B131" i="28"/>
  <c r="F131" i="28"/>
  <c r="H130" i="29"/>
  <c r="I130" i="29"/>
  <c r="B136" i="4"/>
  <c r="F136" i="4"/>
  <c r="H130" i="31"/>
  <c r="I130" i="31"/>
  <c r="B138" i="11"/>
  <c r="F138" i="11"/>
  <c r="H127" i="37"/>
  <c r="I127" i="37"/>
  <c r="H130" i="28"/>
  <c r="I130" i="28"/>
  <c r="B128" i="43"/>
  <c r="F128" i="43"/>
  <c r="H126" i="40"/>
  <c r="I126" i="40"/>
  <c r="B132" i="27"/>
  <c r="F132" i="27"/>
  <c r="B139" i="7"/>
  <c r="F139" i="7"/>
  <c r="B139" i="10"/>
  <c r="F139" i="10"/>
  <c r="I135" i="5"/>
  <c r="H135" i="5"/>
  <c r="B137" i="8"/>
  <c r="F137" i="8"/>
  <c r="H136" i="6"/>
  <c r="I136" i="6"/>
  <c r="B131" i="29"/>
  <c r="F131" i="29"/>
  <c r="B128" i="39"/>
  <c r="F128" i="39"/>
  <c r="B133" i="24"/>
  <c r="F133" i="24"/>
  <c r="B131" i="31"/>
  <c r="F131" i="31"/>
  <c r="E132" i="41" l="1"/>
  <c r="F132" i="41" s="1"/>
  <c r="D133" i="41" s="1"/>
  <c r="I131" i="41"/>
  <c r="H131" i="41"/>
  <c r="E132" i="42"/>
  <c r="F132" i="42" s="1"/>
  <c r="B132" i="42"/>
  <c r="H131" i="42"/>
  <c r="I131" i="42"/>
  <c r="G132" i="38"/>
  <c r="D133" i="38"/>
  <c r="J127" i="43"/>
  <c r="J136" i="6"/>
  <c r="J126" i="40"/>
  <c r="J130" i="28"/>
  <c r="J138" i="7"/>
  <c r="J129" i="30"/>
  <c r="J127" i="39"/>
  <c r="G139" i="7"/>
  <c r="D140" i="7"/>
  <c r="E140" i="7" s="1"/>
  <c r="G138" i="11"/>
  <c r="D139" i="11"/>
  <c r="E139" i="11"/>
  <c r="G136" i="4"/>
  <c r="D137" i="4"/>
  <c r="E137" i="4"/>
  <c r="G131" i="28"/>
  <c r="D132" i="28"/>
  <c r="E132" i="28"/>
  <c r="G138" i="9"/>
  <c r="D139" i="9"/>
  <c r="E139" i="9" s="1"/>
  <c r="G127" i="40"/>
  <c r="D128" i="40"/>
  <c r="E128" i="40"/>
  <c r="G130" i="30"/>
  <c r="D131" i="30"/>
  <c r="E131" i="30"/>
  <c r="G135" i="22"/>
  <c r="D136" i="22"/>
  <c r="E136" i="22"/>
  <c r="G134" i="23"/>
  <c r="D135" i="23"/>
  <c r="E135" i="23" s="1"/>
  <c r="G128" i="37"/>
  <c r="D129" i="37"/>
  <c r="E129" i="37"/>
  <c r="G131" i="31"/>
  <c r="D132" i="31"/>
  <c r="E132" i="31"/>
  <c r="G128" i="39"/>
  <c r="D129" i="39"/>
  <c r="E129" i="39"/>
  <c r="J135" i="5"/>
  <c r="J135" i="4"/>
  <c r="G133" i="24"/>
  <c r="D134" i="24"/>
  <c r="E134" i="24"/>
  <c r="G131" i="29"/>
  <c r="D132" i="29"/>
  <c r="E132" i="29"/>
  <c r="G137" i="8"/>
  <c r="D138" i="8"/>
  <c r="E138" i="8" s="1"/>
  <c r="G139" i="10"/>
  <c r="D140" i="10"/>
  <c r="E140" i="10"/>
  <c r="G132" i="27"/>
  <c r="D133" i="27"/>
  <c r="E133" i="27"/>
  <c r="G128" i="43"/>
  <c r="D129" i="43"/>
  <c r="E129" i="43"/>
  <c r="J127" i="37"/>
  <c r="J130" i="31"/>
  <c r="J130" i="29"/>
  <c r="J138" i="10"/>
  <c r="G137" i="6"/>
  <c r="D138" i="6"/>
  <c r="E138" i="6" s="1"/>
  <c r="G136" i="5"/>
  <c r="D137" i="5"/>
  <c r="E137" i="5"/>
  <c r="G135" i="25"/>
  <c r="D136" i="25"/>
  <c r="E136" i="25"/>
  <c r="J135" i="3"/>
  <c r="J136" i="8"/>
  <c r="J131" i="27"/>
  <c r="G136" i="3"/>
  <c r="D137" i="3"/>
  <c r="E137" i="3" s="1"/>
  <c r="G132" i="41" l="1"/>
  <c r="D133" i="42"/>
  <c r="G132" i="42"/>
  <c r="E133" i="38"/>
  <c r="F133" i="38" s="1"/>
  <c r="B133" i="38"/>
  <c r="H132" i="38"/>
  <c r="I132" i="38"/>
  <c r="I132" i="41"/>
  <c r="H132" i="41"/>
  <c r="E133" i="41"/>
  <c r="F133" i="41" s="1"/>
  <c r="B133" i="41"/>
  <c r="B136" i="25"/>
  <c r="F136" i="25"/>
  <c r="H136" i="5"/>
  <c r="I136" i="5"/>
  <c r="B133" i="27"/>
  <c r="F133" i="27"/>
  <c r="H139" i="10"/>
  <c r="I139" i="10"/>
  <c r="B134" i="24"/>
  <c r="F134" i="24"/>
  <c r="B132" i="31"/>
  <c r="F132" i="31"/>
  <c r="H128" i="37"/>
  <c r="I128" i="37"/>
  <c r="B131" i="30"/>
  <c r="F131" i="30"/>
  <c r="H127" i="40"/>
  <c r="I127" i="40"/>
  <c r="B137" i="4"/>
  <c r="F137" i="4"/>
  <c r="I138" i="11"/>
  <c r="H138" i="11"/>
  <c r="H135" i="25"/>
  <c r="I135" i="25"/>
  <c r="B129" i="43"/>
  <c r="F129" i="43"/>
  <c r="I132" i="27"/>
  <c r="H132" i="27"/>
  <c r="B132" i="29"/>
  <c r="F132" i="29"/>
  <c r="H133" i="24"/>
  <c r="I133" i="24"/>
  <c r="B129" i="39"/>
  <c r="F129" i="39"/>
  <c r="I131" i="31"/>
  <c r="H131" i="31"/>
  <c r="B136" i="22"/>
  <c r="F136" i="22"/>
  <c r="I130" i="30"/>
  <c r="H130" i="30"/>
  <c r="B132" i="28"/>
  <c r="F132" i="28"/>
  <c r="H136" i="4"/>
  <c r="I136" i="4"/>
  <c r="B138" i="6"/>
  <c r="F138" i="6"/>
  <c r="I128" i="43"/>
  <c r="H128" i="43"/>
  <c r="B138" i="8"/>
  <c r="F138" i="8"/>
  <c r="I131" i="29"/>
  <c r="H131" i="29"/>
  <c r="H128" i="39"/>
  <c r="I128" i="39"/>
  <c r="B135" i="23"/>
  <c r="F135" i="23"/>
  <c r="H135" i="22"/>
  <c r="I135" i="22"/>
  <c r="B139" i="9"/>
  <c r="F139" i="9"/>
  <c r="I131" i="28"/>
  <c r="H131" i="28"/>
  <c r="B140" i="7"/>
  <c r="F140" i="7"/>
  <c r="B137" i="3"/>
  <c r="F137" i="3"/>
  <c r="H136" i="3"/>
  <c r="I136" i="3"/>
  <c r="B137" i="5"/>
  <c r="F137" i="5"/>
  <c r="H137" i="6"/>
  <c r="I137" i="6"/>
  <c r="B140" i="10"/>
  <c r="F140" i="10"/>
  <c r="H137" i="8"/>
  <c r="I137" i="8"/>
  <c r="B129" i="37"/>
  <c r="F129" i="37"/>
  <c r="H134" i="23"/>
  <c r="I134" i="23"/>
  <c r="B128" i="40"/>
  <c r="F128" i="40"/>
  <c r="I138" i="9"/>
  <c r="H138" i="9"/>
  <c r="B139" i="11"/>
  <c r="F139" i="11"/>
  <c r="H139" i="7"/>
  <c r="I139" i="7"/>
  <c r="D134" i="38" l="1"/>
  <c r="G133" i="38"/>
  <c r="I132" i="42"/>
  <c r="H132" i="42"/>
  <c r="D134" i="41"/>
  <c r="G133" i="41"/>
  <c r="E133" i="42"/>
  <c r="F133" i="42" s="1"/>
  <c r="B133" i="42"/>
  <c r="J131" i="29"/>
  <c r="J128" i="43"/>
  <c r="J130" i="30"/>
  <c r="J131" i="31"/>
  <c r="J131" i="28"/>
  <c r="J132" i="27"/>
  <c r="J139" i="7"/>
  <c r="J137" i="8"/>
  <c r="J137" i="6"/>
  <c r="J136" i="3"/>
  <c r="D141" i="7"/>
  <c r="E141" i="7" s="1"/>
  <c r="G140" i="7"/>
  <c r="G139" i="9"/>
  <c r="D140" i="9"/>
  <c r="E140" i="9" s="1"/>
  <c r="G135" i="23"/>
  <c r="D136" i="23"/>
  <c r="E136" i="23"/>
  <c r="J136" i="4"/>
  <c r="G137" i="4"/>
  <c r="D138" i="4"/>
  <c r="E138" i="4"/>
  <c r="G131" i="30"/>
  <c r="D132" i="30"/>
  <c r="E132" i="30"/>
  <c r="G132" i="31"/>
  <c r="D133" i="31"/>
  <c r="E133" i="31" s="1"/>
  <c r="J139" i="10"/>
  <c r="J136" i="5"/>
  <c r="G139" i="11"/>
  <c r="D140" i="11"/>
  <c r="E140" i="11"/>
  <c r="G128" i="40"/>
  <c r="D129" i="40"/>
  <c r="E129" i="40" s="1"/>
  <c r="G129" i="37"/>
  <c r="D130" i="37"/>
  <c r="E130" i="37" s="1"/>
  <c r="G140" i="10"/>
  <c r="D141" i="10"/>
  <c r="E141" i="10"/>
  <c r="G137" i="5"/>
  <c r="D138" i="5"/>
  <c r="E138" i="5"/>
  <c r="G137" i="3"/>
  <c r="D138" i="3"/>
  <c r="E138" i="3" s="1"/>
  <c r="J128" i="39"/>
  <c r="G138" i="8"/>
  <c r="D139" i="8"/>
  <c r="E139" i="8" s="1"/>
  <c r="G138" i="6"/>
  <c r="D139" i="6"/>
  <c r="E139" i="6" s="1"/>
  <c r="G132" i="28"/>
  <c r="D133" i="28"/>
  <c r="E133" i="28"/>
  <c r="G136" i="22"/>
  <c r="D137" i="22"/>
  <c r="E137" i="22"/>
  <c r="G129" i="39"/>
  <c r="D130" i="39"/>
  <c r="E130" i="39" s="1"/>
  <c r="G132" i="29"/>
  <c r="D133" i="29"/>
  <c r="E133" i="29" s="1"/>
  <c r="G129" i="43"/>
  <c r="D130" i="43"/>
  <c r="E130" i="43"/>
  <c r="J127" i="40"/>
  <c r="J128" i="37"/>
  <c r="G134" i="24"/>
  <c r="D135" i="24"/>
  <c r="E135" i="24" s="1"/>
  <c r="G133" i="27"/>
  <c r="D134" i="27"/>
  <c r="E134" i="27"/>
  <c r="G136" i="25"/>
  <c r="D137" i="25"/>
  <c r="E137" i="25"/>
  <c r="G133" i="42" l="1"/>
  <c r="D134" i="42"/>
  <c r="I133" i="41"/>
  <c r="H133" i="41"/>
  <c r="I133" i="38"/>
  <c r="H133" i="38"/>
  <c r="E134" i="41"/>
  <c r="F134" i="41" s="1"/>
  <c r="B134" i="41"/>
  <c r="E134" i="38"/>
  <c r="F134" i="38"/>
  <c r="B134" i="38"/>
  <c r="B130" i="43"/>
  <c r="F130" i="43"/>
  <c r="H132" i="29"/>
  <c r="I132" i="29"/>
  <c r="B133" i="28"/>
  <c r="F133" i="28"/>
  <c r="H138" i="6"/>
  <c r="I138" i="6"/>
  <c r="B141" i="10"/>
  <c r="F141" i="10"/>
  <c r="H129" i="37"/>
  <c r="I129" i="37"/>
  <c r="B138" i="4"/>
  <c r="F138" i="4"/>
  <c r="B136" i="23"/>
  <c r="F136" i="23"/>
  <c r="I139" i="9"/>
  <c r="H139" i="9"/>
  <c r="B134" i="27"/>
  <c r="F134" i="27"/>
  <c r="B137" i="25"/>
  <c r="F137" i="25"/>
  <c r="H133" i="27"/>
  <c r="I133" i="27"/>
  <c r="I129" i="43"/>
  <c r="H129" i="43"/>
  <c r="B137" i="22"/>
  <c r="F137" i="22"/>
  <c r="H132" i="28"/>
  <c r="I132" i="28"/>
  <c r="B138" i="5"/>
  <c r="F138" i="5"/>
  <c r="H140" i="10"/>
  <c r="I140" i="10"/>
  <c r="B140" i="11"/>
  <c r="F140" i="11"/>
  <c r="B132" i="30"/>
  <c r="F132" i="30"/>
  <c r="H137" i="4"/>
  <c r="I137" i="4"/>
  <c r="I135" i="23"/>
  <c r="H135" i="23"/>
  <c r="H134" i="24"/>
  <c r="I134" i="24"/>
  <c r="H136" i="25"/>
  <c r="I136" i="25"/>
  <c r="B130" i="39"/>
  <c r="F130" i="39"/>
  <c r="H136" i="22"/>
  <c r="I136" i="22"/>
  <c r="B139" i="8"/>
  <c r="F139" i="8"/>
  <c r="B138" i="3"/>
  <c r="F138" i="3"/>
  <c r="H137" i="5"/>
  <c r="I137" i="5"/>
  <c r="B129" i="40"/>
  <c r="F129" i="40"/>
  <c r="H139" i="11"/>
  <c r="I139" i="11"/>
  <c r="B133" i="31"/>
  <c r="F133" i="31"/>
  <c r="H131" i="30"/>
  <c r="I131" i="30"/>
  <c r="H140" i="7"/>
  <c r="I140" i="7"/>
  <c r="B135" i="24"/>
  <c r="F135" i="24"/>
  <c r="B133" i="29"/>
  <c r="F133" i="29"/>
  <c r="H129" i="39"/>
  <c r="I129" i="39"/>
  <c r="B139" i="6"/>
  <c r="F139" i="6"/>
  <c r="H138" i="8"/>
  <c r="I138" i="8"/>
  <c r="H137" i="3"/>
  <c r="I137" i="3"/>
  <c r="B130" i="37"/>
  <c r="F130" i="37"/>
  <c r="H128" i="40"/>
  <c r="I128" i="40"/>
  <c r="H132" i="31"/>
  <c r="I132" i="31"/>
  <c r="B140" i="9"/>
  <c r="F140" i="9"/>
  <c r="B141" i="7"/>
  <c r="F141" i="7"/>
  <c r="G134" i="41" l="1"/>
  <c r="D135" i="41"/>
  <c r="D135" i="38"/>
  <c r="G134" i="38"/>
  <c r="E134" i="42"/>
  <c r="B134" i="42"/>
  <c r="F134" i="42"/>
  <c r="I133" i="42"/>
  <c r="H133" i="42"/>
  <c r="J129" i="37"/>
  <c r="J138" i="6"/>
  <c r="J132" i="29"/>
  <c r="J129" i="43"/>
  <c r="G141" i="7"/>
  <c r="D142" i="7"/>
  <c r="E142" i="7"/>
  <c r="J132" i="31"/>
  <c r="G130" i="37"/>
  <c r="D131" i="37"/>
  <c r="E131" i="37"/>
  <c r="J138" i="8"/>
  <c r="J129" i="39"/>
  <c r="G135" i="24"/>
  <c r="D136" i="24"/>
  <c r="E136" i="24" s="1"/>
  <c r="J131" i="30"/>
  <c r="J137" i="5"/>
  <c r="G139" i="8"/>
  <c r="D140" i="8"/>
  <c r="E140" i="8"/>
  <c r="G130" i="39"/>
  <c r="D131" i="39"/>
  <c r="E131" i="39" s="1"/>
  <c r="J137" i="4"/>
  <c r="G140" i="11"/>
  <c r="D141" i="11"/>
  <c r="E141" i="11" s="1"/>
  <c r="G138" i="5"/>
  <c r="D139" i="5"/>
  <c r="E139" i="5"/>
  <c r="G137" i="22"/>
  <c r="D138" i="22"/>
  <c r="E138" i="22"/>
  <c r="J133" i="27"/>
  <c r="G134" i="27"/>
  <c r="D135" i="27"/>
  <c r="E135" i="27"/>
  <c r="G136" i="23"/>
  <c r="D137" i="23"/>
  <c r="E137" i="23"/>
  <c r="G140" i="9"/>
  <c r="D141" i="9"/>
  <c r="E141" i="9" s="1"/>
  <c r="J128" i="40"/>
  <c r="J137" i="3"/>
  <c r="G139" i="6"/>
  <c r="D140" i="6"/>
  <c r="E140" i="6" s="1"/>
  <c r="G133" i="29"/>
  <c r="D134" i="29"/>
  <c r="E134" i="29" s="1"/>
  <c r="J140" i="7"/>
  <c r="G133" i="31"/>
  <c r="D134" i="31"/>
  <c r="E134" i="31" s="1"/>
  <c r="G129" i="40"/>
  <c r="D130" i="40"/>
  <c r="E130" i="40"/>
  <c r="G138" i="3"/>
  <c r="D139" i="3"/>
  <c r="E139" i="3"/>
  <c r="G132" i="30"/>
  <c r="D133" i="30"/>
  <c r="E133" i="30" s="1"/>
  <c r="J140" i="10"/>
  <c r="J132" i="28"/>
  <c r="G137" i="25"/>
  <c r="D138" i="25"/>
  <c r="E138" i="25"/>
  <c r="G138" i="4"/>
  <c r="D139" i="4"/>
  <c r="E139" i="4" s="1"/>
  <c r="G141" i="10"/>
  <c r="D142" i="10"/>
  <c r="E142" i="10" s="1"/>
  <c r="G133" i="28"/>
  <c r="D134" i="28"/>
  <c r="E134" i="28"/>
  <c r="G130" i="43"/>
  <c r="D131" i="43"/>
  <c r="E131" i="43"/>
  <c r="I134" i="38" l="1"/>
  <c r="H134" i="38"/>
  <c r="D135" i="42"/>
  <c r="G134" i="42"/>
  <c r="E135" i="38"/>
  <c r="F135" i="38" s="1"/>
  <c r="B135" i="38"/>
  <c r="E135" i="41"/>
  <c r="F135" i="41" s="1"/>
  <c r="B135" i="41"/>
  <c r="I134" i="41"/>
  <c r="H134" i="41"/>
  <c r="B139" i="4"/>
  <c r="F139" i="4"/>
  <c r="H137" i="25"/>
  <c r="I137" i="25"/>
  <c r="B133" i="30"/>
  <c r="F133" i="30"/>
  <c r="I138" i="3"/>
  <c r="H138" i="3"/>
  <c r="B140" i="6"/>
  <c r="F140" i="6"/>
  <c r="B137" i="23"/>
  <c r="F137" i="23"/>
  <c r="I134" i="27"/>
  <c r="H134" i="27"/>
  <c r="I137" i="22"/>
  <c r="H137" i="22"/>
  <c r="B140" i="8"/>
  <c r="F140" i="8"/>
  <c r="B142" i="10"/>
  <c r="F142" i="10"/>
  <c r="I138" i="4"/>
  <c r="H138" i="4"/>
  <c r="H132" i="30"/>
  <c r="I132" i="30"/>
  <c r="B134" i="31"/>
  <c r="F134" i="31"/>
  <c r="B134" i="29"/>
  <c r="F134" i="29"/>
  <c r="H139" i="6"/>
  <c r="I139" i="6"/>
  <c r="B141" i="9"/>
  <c r="F141" i="9"/>
  <c r="I136" i="23"/>
  <c r="H136" i="23"/>
  <c r="B141" i="11"/>
  <c r="F141" i="11"/>
  <c r="B131" i="39"/>
  <c r="F131" i="39"/>
  <c r="H139" i="8"/>
  <c r="I139" i="8"/>
  <c r="B136" i="24"/>
  <c r="F136" i="24"/>
  <c r="B134" i="28"/>
  <c r="F134" i="28"/>
  <c r="H141" i="10"/>
  <c r="I141" i="10"/>
  <c r="B130" i="40"/>
  <c r="F130" i="40"/>
  <c r="I133" i="31"/>
  <c r="H133" i="31"/>
  <c r="H133" i="29"/>
  <c r="I133" i="29"/>
  <c r="I140" i="9"/>
  <c r="H140" i="9"/>
  <c r="B139" i="5"/>
  <c r="F139" i="5"/>
  <c r="H140" i="11"/>
  <c r="I140" i="11"/>
  <c r="H130" i="39"/>
  <c r="I130" i="39"/>
  <c r="I135" i="24"/>
  <c r="H135" i="24"/>
  <c r="B131" i="37"/>
  <c r="F131" i="37"/>
  <c r="B142" i="7"/>
  <c r="F142" i="7"/>
  <c r="H130" i="43"/>
  <c r="I130" i="43"/>
  <c r="B131" i="43"/>
  <c r="F131" i="43"/>
  <c r="I133" i="28"/>
  <c r="H133" i="28"/>
  <c r="B138" i="25"/>
  <c r="F138" i="25"/>
  <c r="B139" i="3"/>
  <c r="F139" i="3"/>
  <c r="I129" i="40"/>
  <c r="H129" i="40"/>
  <c r="B135" i="27"/>
  <c r="F135" i="27"/>
  <c r="B138" i="22"/>
  <c r="F138" i="22"/>
  <c r="I138" i="5"/>
  <c r="H138" i="5"/>
  <c r="H130" i="37"/>
  <c r="I130" i="37"/>
  <c r="H141" i="7"/>
  <c r="I141" i="7"/>
  <c r="D136" i="41" l="1"/>
  <c r="G135" i="41"/>
  <c r="E135" i="42"/>
  <c r="F135" i="42" s="1"/>
  <c r="B135" i="42"/>
  <c r="G135" i="38"/>
  <c r="D136" i="38"/>
  <c r="I134" i="42"/>
  <c r="H134" i="42"/>
  <c r="J138" i="5"/>
  <c r="J133" i="28"/>
  <c r="J130" i="37"/>
  <c r="J155" i="37" s="1"/>
  <c r="J141" i="10"/>
  <c r="J139" i="6"/>
  <c r="J138" i="3"/>
  <c r="G138" i="22"/>
  <c r="D139" i="22"/>
  <c r="E139" i="22" s="1"/>
  <c r="G138" i="25"/>
  <c r="D139" i="25"/>
  <c r="E139" i="25"/>
  <c r="G142" i="7"/>
  <c r="D143" i="7"/>
  <c r="E143" i="7"/>
  <c r="G136" i="24"/>
  <c r="D137" i="24"/>
  <c r="E137" i="24" s="1"/>
  <c r="G131" i="39"/>
  <c r="D132" i="39"/>
  <c r="E132" i="39" s="1"/>
  <c r="G134" i="31"/>
  <c r="D135" i="31"/>
  <c r="E135" i="31" s="1"/>
  <c r="G140" i="8"/>
  <c r="D141" i="8"/>
  <c r="E141" i="8"/>
  <c r="G140" i="6"/>
  <c r="D141" i="6"/>
  <c r="E141" i="6"/>
  <c r="G133" i="30"/>
  <c r="D134" i="30"/>
  <c r="E134" i="30" s="1"/>
  <c r="J138" i="4"/>
  <c r="J134" i="27"/>
  <c r="J141" i="7"/>
  <c r="G135" i="27"/>
  <c r="D136" i="27"/>
  <c r="E136" i="27"/>
  <c r="G139" i="3"/>
  <c r="D140" i="3"/>
  <c r="E140" i="3"/>
  <c r="J130" i="43"/>
  <c r="J155" i="43" s="1"/>
  <c r="G131" i="37"/>
  <c r="D132" i="37"/>
  <c r="E132" i="37" s="1"/>
  <c r="J130" i="39"/>
  <c r="J155" i="39" s="1"/>
  <c r="G139" i="5"/>
  <c r="D140" i="5"/>
  <c r="E140" i="5" s="1"/>
  <c r="J133" i="29"/>
  <c r="G130" i="40"/>
  <c r="D131" i="40"/>
  <c r="E131" i="40" s="1"/>
  <c r="G134" i="28"/>
  <c r="D135" i="28"/>
  <c r="E135" i="28"/>
  <c r="J139" i="8"/>
  <c r="G141" i="11"/>
  <c r="D142" i="11"/>
  <c r="E142" i="11"/>
  <c r="G141" i="9"/>
  <c r="D142" i="9"/>
  <c r="E142" i="9" s="1"/>
  <c r="G134" i="29"/>
  <c r="D135" i="29"/>
  <c r="E135" i="29"/>
  <c r="J132" i="30"/>
  <c r="G142" i="10"/>
  <c r="D143" i="10"/>
  <c r="E143" i="10"/>
  <c r="G137" i="23"/>
  <c r="D138" i="23"/>
  <c r="E138" i="23" s="1"/>
  <c r="G131" i="43"/>
  <c r="D132" i="43"/>
  <c r="E132" i="43"/>
  <c r="G139" i="4"/>
  <c r="D140" i="4"/>
  <c r="E140" i="4" s="1"/>
  <c r="J129" i="40"/>
  <c r="J133" i="31"/>
  <c r="G135" i="42" l="1"/>
  <c r="D136" i="42"/>
  <c r="E136" i="38"/>
  <c r="F136" i="38" s="1"/>
  <c r="B136" i="38"/>
  <c r="I135" i="38"/>
  <c r="H135" i="38"/>
  <c r="I135" i="41"/>
  <c r="H135" i="41"/>
  <c r="E136" i="41"/>
  <c r="F136" i="41"/>
  <c r="B136" i="41"/>
  <c r="I137" i="23"/>
  <c r="H137" i="23"/>
  <c r="B142" i="11"/>
  <c r="F142" i="11"/>
  <c r="H130" i="40"/>
  <c r="I130" i="40"/>
  <c r="H139" i="5"/>
  <c r="I139" i="5"/>
  <c r="I131" i="37"/>
  <c r="H131" i="37"/>
  <c r="H139" i="3"/>
  <c r="I139" i="3"/>
  <c r="H140" i="6"/>
  <c r="I140" i="6"/>
  <c r="B140" i="4"/>
  <c r="F140" i="4"/>
  <c r="B142" i="9"/>
  <c r="F142" i="9"/>
  <c r="H134" i="28"/>
  <c r="I134" i="28"/>
  <c r="B135" i="31"/>
  <c r="F135" i="31"/>
  <c r="B139" i="25"/>
  <c r="F139" i="25"/>
  <c r="I138" i="22"/>
  <c r="H138" i="22"/>
  <c r="H139" i="4"/>
  <c r="I139" i="4"/>
  <c r="B143" i="10"/>
  <c r="F143" i="10"/>
  <c r="B135" i="29"/>
  <c r="F135" i="29"/>
  <c r="H141" i="9"/>
  <c r="I141" i="9"/>
  <c r="B136" i="27"/>
  <c r="F136" i="27"/>
  <c r="B141" i="8"/>
  <c r="F141" i="8"/>
  <c r="H134" i="31"/>
  <c r="I134" i="31"/>
  <c r="B143" i="7"/>
  <c r="F143" i="7"/>
  <c r="I138" i="25"/>
  <c r="H138" i="25"/>
  <c r="B132" i="43"/>
  <c r="F132" i="43"/>
  <c r="B135" i="28"/>
  <c r="F135" i="28"/>
  <c r="B134" i="30"/>
  <c r="F134" i="30"/>
  <c r="B132" i="39"/>
  <c r="F132" i="39"/>
  <c r="I136" i="24"/>
  <c r="H136" i="24"/>
  <c r="B139" i="22"/>
  <c r="F139" i="22"/>
  <c r="I131" i="43"/>
  <c r="H131" i="43"/>
  <c r="H141" i="11"/>
  <c r="I141" i="11"/>
  <c r="H133" i="30"/>
  <c r="I133" i="30"/>
  <c r="H131" i="39"/>
  <c r="I131" i="39"/>
  <c r="B138" i="23"/>
  <c r="F138" i="23"/>
  <c r="H142" i="10"/>
  <c r="I142" i="10"/>
  <c r="I134" i="29"/>
  <c r="H134" i="29"/>
  <c r="B131" i="40"/>
  <c r="F131" i="40"/>
  <c r="B140" i="5"/>
  <c r="F140" i="5"/>
  <c r="B132" i="37"/>
  <c r="F132" i="37"/>
  <c r="B140" i="3"/>
  <c r="F140" i="3"/>
  <c r="H135" i="27"/>
  <c r="I135" i="27"/>
  <c r="B141" i="6"/>
  <c r="F141" i="6"/>
  <c r="H140" i="8"/>
  <c r="I140" i="8"/>
  <c r="F137" i="24"/>
  <c r="B137" i="24"/>
  <c r="H142" i="7"/>
  <c r="I142" i="7"/>
  <c r="G136" i="38" l="1"/>
  <c r="D137" i="38"/>
  <c r="E136" i="42"/>
  <c r="F136" i="42" s="1"/>
  <c r="B136" i="42"/>
  <c r="G136" i="41"/>
  <c r="D137" i="41"/>
  <c r="B137" i="41" s="1"/>
  <c r="I135" i="42"/>
  <c r="H135" i="42"/>
  <c r="J140" i="6"/>
  <c r="J130" i="40"/>
  <c r="J155" i="40" s="1"/>
  <c r="J133" i="30"/>
  <c r="G141" i="6"/>
  <c r="D142" i="6"/>
  <c r="E142" i="6"/>
  <c r="G141" i="8"/>
  <c r="D142" i="8"/>
  <c r="E142" i="8"/>
  <c r="J134" i="29"/>
  <c r="J142" i="7"/>
  <c r="J140" i="8"/>
  <c r="J135" i="27"/>
  <c r="G132" i="37"/>
  <c r="D133" i="37"/>
  <c r="E133" i="37" s="1"/>
  <c r="G131" i="40"/>
  <c r="D132" i="40"/>
  <c r="E132" i="40" s="1"/>
  <c r="J142" i="10"/>
  <c r="G139" i="22"/>
  <c r="D140" i="22"/>
  <c r="E140" i="22" s="1"/>
  <c r="G132" i="39"/>
  <c r="D133" i="39"/>
  <c r="E133" i="39"/>
  <c r="G135" i="28"/>
  <c r="D136" i="28"/>
  <c r="E136" i="28"/>
  <c r="J134" i="31"/>
  <c r="G136" i="27"/>
  <c r="D137" i="27"/>
  <c r="E137" i="27"/>
  <c r="G135" i="29"/>
  <c r="D136" i="29"/>
  <c r="E136" i="29" s="1"/>
  <c r="J139" i="4"/>
  <c r="G139" i="25"/>
  <c r="D140" i="25"/>
  <c r="E140" i="25" s="1"/>
  <c r="J134" i="28"/>
  <c r="G140" i="4"/>
  <c r="D141" i="4"/>
  <c r="E141" i="4" s="1"/>
  <c r="J139" i="3"/>
  <c r="J139" i="5"/>
  <c r="G142" i="11"/>
  <c r="D143" i="11"/>
  <c r="E143" i="11" s="1"/>
  <c r="G140" i="3"/>
  <c r="D141" i="3"/>
  <c r="E141" i="3" s="1"/>
  <c r="G138" i="23"/>
  <c r="D139" i="23"/>
  <c r="E139" i="23" s="1"/>
  <c r="G143" i="7"/>
  <c r="D144" i="7"/>
  <c r="E144" i="7" s="1"/>
  <c r="D136" i="31"/>
  <c r="E136" i="31" s="1"/>
  <c r="G135" i="31"/>
  <c r="G132" i="43"/>
  <c r="D133" i="43"/>
  <c r="E133" i="43" s="1"/>
  <c r="G143" i="10"/>
  <c r="D144" i="10"/>
  <c r="E144" i="10" s="1"/>
  <c r="G142" i="9"/>
  <c r="D143" i="9"/>
  <c r="E143" i="9"/>
  <c r="G140" i="5"/>
  <c r="D141" i="5"/>
  <c r="E141" i="5" s="1"/>
  <c r="G134" i="30"/>
  <c r="D135" i="30"/>
  <c r="E135" i="30" s="1"/>
  <c r="G137" i="24"/>
  <c r="D138" i="24"/>
  <c r="E138" i="24"/>
  <c r="E137" i="41" l="1"/>
  <c r="F137" i="41" s="1"/>
  <c r="D138" i="41" s="1"/>
  <c r="D137" i="42"/>
  <c r="G136" i="42"/>
  <c r="G137" i="41"/>
  <c r="H136" i="41"/>
  <c r="I136" i="41"/>
  <c r="E137" i="38"/>
  <c r="F137" i="38" s="1"/>
  <c r="B137" i="38"/>
  <c r="I136" i="38"/>
  <c r="H136" i="38"/>
  <c r="B141" i="3"/>
  <c r="F141" i="3"/>
  <c r="B141" i="4"/>
  <c r="F141" i="4"/>
  <c r="B140" i="25"/>
  <c r="F140" i="25"/>
  <c r="B136" i="29"/>
  <c r="F136" i="29"/>
  <c r="I136" i="27"/>
  <c r="H136" i="27"/>
  <c r="I135" i="28"/>
  <c r="H135" i="28"/>
  <c r="B133" i="37"/>
  <c r="F133" i="37"/>
  <c r="H141" i="8"/>
  <c r="I141" i="8"/>
  <c r="B135" i="30"/>
  <c r="F135" i="30"/>
  <c r="B136" i="31"/>
  <c r="F136" i="31"/>
  <c r="B138" i="24"/>
  <c r="F138" i="24"/>
  <c r="H134" i="30"/>
  <c r="I134" i="30"/>
  <c r="B144" i="10"/>
  <c r="F144" i="10"/>
  <c r="H132" i="43"/>
  <c r="I132" i="43"/>
  <c r="B139" i="23"/>
  <c r="F139" i="23"/>
  <c r="I140" i="3"/>
  <c r="H140" i="3"/>
  <c r="I140" i="4"/>
  <c r="H140" i="4"/>
  <c r="H139" i="25"/>
  <c r="I139" i="25"/>
  <c r="H135" i="29"/>
  <c r="I135" i="29"/>
  <c r="B140" i="22"/>
  <c r="F140" i="22"/>
  <c r="B132" i="40"/>
  <c r="F132" i="40"/>
  <c r="I132" i="37"/>
  <c r="H132" i="37"/>
  <c r="B141" i="5"/>
  <c r="F141" i="5"/>
  <c r="H140" i="5"/>
  <c r="I140" i="5"/>
  <c r="B133" i="43"/>
  <c r="F133" i="43"/>
  <c r="H142" i="11"/>
  <c r="I142" i="11"/>
  <c r="H137" i="24"/>
  <c r="I137" i="24"/>
  <c r="B143" i="9"/>
  <c r="F143" i="9"/>
  <c r="H143" i="10"/>
  <c r="I143" i="10"/>
  <c r="B144" i="7"/>
  <c r="F144" i="7"/>
  <c r="I138" i="23"/>
  <c r="H138" i="23"/>
  <c r="F133" i="39"/>
  <c r="B133" i="39"/>
  <c r="H139" i="22"/>
  <c r="I139" i="22"/>
  <c r="I131" i="40"/>
  <c r="H131" i="40"/>
  <c r="B142" i="6"/>
  <c r="F142" i="6"/>
  <c r="I142" i="9"/>
  <c r="H142" i="9"/>
  <c r="H135" i="31"/>
  <c r="I135" i="31"/>
  <c r="H143" i="7"/>
  <c r="I143" i="7"/>
  <c r="B143" i="11"/>
  <c r="F143" i="11"/>
  <c r="B137" i="27"/>
  <c r="F137" i="27"/>
  <c r="B136" i="28"/>
  <c r="F136" i="28"/>
  <c r="I132" i="39"/>
  <c r="H132" i="39"/>
  <c r="B142" i="8"/>
  <c r="F142" i="8"/>
  <c r="H141" i="6"/>
  <c r="I141" i="6"/>
  <c r="D138" i="38" l="1"/>
  <c r="G137" i="38"/>
  <c r="H137" i="41"/>
  <c r="I137" i="41"/>
  <c r="H136" i="42"/>
  <c r="I136" i="42"/>
  <c r="E138" i="41"/>
  <c r="F138" i="41" s="1"/>
  <c r="B138" i="41"/>
  <c r="E137" i="42"/>
  <c r="F137" i="42" s="1"/>
  <c r="B137" i="42"/>
  <c r="J140" i="3"/>
  <c r="J135" i="28"/>
  <c r="J140" i="4"/>
  <c r="J141" i="6"/>
  <c r="G137" i="27"/>
  <c r="D138" i="27"/>
  <c r="E138" i="27"/>
  <c r="J143" i="7"/>
  <c r="G144" i="7"/>
  <c r="D145" i="7"/>
  <c r="E145" i="7" s="1"/>
  <c r="G143" i="9"/>
  <c r="D144" i="9"/>
  <c r="E144" i="9" s="1"/>
  <c r="J140" i="5"/>
  <c r="G140" i="22"/>
  <c r="D141" i="22"/>
  <c r="E141" i="22" s="1"/>
  <c r="J134" i="30"/>
  <c r="G136" i="31"/>
  <c r="D137" i="31"/>
  <c r="E137" i="31" s="1"/>
  <c r="J141" i="8"/>
  <c r="G136" i="29"/>
  <c r="D137" i="29"/>
  <c r="E137" i="29" s="1"/>
  <c r="G141" i="4"/>
  <c r="D142" i="4"/>
  <c r="E142" i="4"/>
  <c r="D134" i="39"/>
  <c r="G133" i="39"/>
  <c r="E134" i="39"/>
  <c r="G142" i="8"/>
  <c r="D143" i="8"/>
  <c r="E143" i="8" s="1"/>
  <c r="D137" i="28"/>
  <c r="G136" i="28"/>
  <c r="E137" i="28"/>
  <c r="G143" i="11"/>
  <c r="D144" i="11"/>
  <c r="E144" i="11" s="1"/>
  <c r="J135" i="31"/>
  <c r="G142" i="6"/>
  <c r="D143" i="6"/>
  <c r="E143" i="6" s="1"/>
  <c r="J143" i="10"/>
  <c r="G133" i="43"/>
  <c r="D134" i="43"/>
  <c r="E134" i="43" s="1"/>
  <c r="G141" i="5"/>
  <c r="D142" i="5"/>
  <c r="E142" i="5"/>
  <c r="G132" i="40"/>
  <c r="D133" i="40"/>
  <c r="E133" i="40" s="1"/>
  <c r="J135" i="29"/>
  <c r="G139" i="23"/>
  <c r="D140" i="23"/>
  <c r="E140" i="23" s="1"/>
  <c r="G144" i="10"/>
  <c r="D145" i="10"/>
  <c r="E145" i="10" s="1"/>
  <c r="G138" i="24"/>
  <c r="D139" i="24"/>
  <c r="E139" i="24"/>
  <c r="G135" i="30"/>
  <c r="D136" i="30"/>
  <c r="E136" i="30" s="1"/>
  <c r="G133" i="37"/>
  <c r="D134" i="37"/>
  <c r="E134" i="37"/>
  <c r="G140" i="25"/>
  <c r="D141" i="25"/>
  <c r="E141" i="25" s="1"/>
  <c r="G141" i="3"/>
  <c r="D142" i="3"/>
  <c r="E142" i="3"/>
  <c r="J136" i="27"/>
  <c r="G138" i="41" l="1"/>
  <c r="D139" i="41"/>
  <c r="G137" i="42"/>
  <c r="D138" i="42"/>
  <c r="H137" i="38"/>
  <c r="I137" i="38"/>
  <c r="E138" i="38"/>
  <c r="F138" i="38" s="1"/>
  <c r="B138" i="38"/>
  <c r="B142" i="3"/>
  <c r="F142" i="3"/>
  <c r="I140" i="25"/>
  <c r="H140" i="25"/>
  <c r="I141" i="3"/>
  <c r="H141" i="3"/>
  <c r="B136" i="30"/>
  <c r="F136" i="30"/>
  <c r="H138" i="24"/>
  <c r="I138" i="24"/>
  <c r="B142" i="5"/>
  <c r="F142" i="5"/>
  <c r="H133" i="43"/>
  <c r="I133" i="43"/>
  <c r="H142" i="6"/>
  <c r="I142" i="6"/>
  <c r="I143" i="11"/>
  <c r="H143" i="11"/>
  <c r="H133" i="39"/>
  <c r="I133" i="39"/>
  <c r="I141" i="4"/>
  <c r="H141" i="4"/>
  <c r="H135" i="30"/>
  <c r="I135" i="30"/>
  <c r="B140" i="23"/>
  <c r="F140" i="23"/>
  <c r="B133" i="40"/>
  <c r="F133" i="40"/>
  <c r="H141" i="5"/>
  <c r="I141" i="5"/>
  <c r="B143" i="8"/>
  <c r="F143" i="8"/>
  <c r="B134" i="39"/>
  <c r="F134" i="39"/>
  <c r="B145" i="7"/>
  <c r="F145" i="7"/>
  <c r="B138" i="27"/>
  <c r="F138" i="27"/>
  <c r="B141" i="25"/>
  <c r="F141" i="25"/>
  <c r="B145" i="10"/>
  <c r="F145" i="10"/>
  <c r="I139" i="23"/>
  <c r="H139" i="23"/>
  <c r="H132" i="40"/>
  <c r="I132" i="40"/>
  <c r="H136" i="28"/>
  <c r="I136" i="28"/>
  <c r="H142" i="8"/>
  <c r="I142" i="8"/>
  <c r="B137" i="29"/>
  <c r="F137" i="29"/>
  <c r="B137" i="31"/>
  <c r="F137" i="31"/>
  <c r="B141" i="22"/>
  <c r="F141" i="22"/>
  <c r="B144" i="9"/>
  <c r="F144" i="9"/>
  <c r="I144" i="7"/>
  <c r="H144" i="7"/>
  <c r="I137" i="27"/>
  <c r="H137" i="27"/>
  <c r="B134" i="37"/>
  <c r="F134" i="37"/>
  <c r="I133" i="37"/>
  <c r="H133" i="37"/>
  <c r="B139" i="24"/>
  <c r="F139" i="24"/>
  <c r="I144" i="10"/>
  <c r="H144" i="10"/>
  <c r="B134" i="43"/>
  <c r="F134" i="43"/>
  <c r="B143" i="6"/>
  <c r="F143" i="6"/>
  <c r="B144" i="11"/>
  <c r="F144" i="11"/>
  <c r="B137" i="28"/>
  <c r="F137" i="28"/>
  <c r="B142" i="4"/>
  <c r="F142" i="4"/>
  <c r="H136" i="29"/>
  <c r="I136" i="29"/>
  <c r="I136" i="31"/>
  <c r="H136" i="31"/>
  <c r="H140" i="22"/>
  <c r="I140" i="22"/>
  <c r="H143" i="9"/>
  <c r="I143" i="9"/>
  <c r="D139" i="38" l="1"/>
  <c r="G138" i="38"/>
  <c r="E139" i="41"/>
  <c r="F139" i="41" s="1"/>
  <c r="B139" i="41"/>
  <c r="E138" i="42"/>
  <c r="F138" i="42" s="1"/>
  <c r="B138" i="42"/>
  <c r="I137" i="42"/>
  <c r="H137" i="42"/>
  <c r="H138" i="41"/>
  <c r="I138" i="41"/>
  <c r="J136" i="31"/>
  <c r="J144" i="7"/>
  <c r="J141" i="5"/>
  <c r="J136" i="29"/>
  <c r="J142" i="8"/>
  <c r="J137" i="27"/>
  <c r="G142" i="4"/>
  <c r="D143" i="4"/>
  <c r="E143" i="4" s="1"/>
  <c r="G144" i="11"/>
  <c r="D145" i="11"/>
  <c r="E145" i="11" s="1"/>
  <c r="G134" i="43"/>
  <c r="D135" i="43"/>
  <c r="E135" i="43" s="1"/>
  <c r="G139" i="24"/>
  <c r="D140" i="24"/>
  <c r="E140" i="24"/>
  <c r="G134" i="37"/>
  <c r="D135" i="37"/>
  <c r="E135" i="37" s="1"/>
  <c r="G141" i="22"/>
  <c r="D142" i="22"/>
  <c r="E142" i="22"/>
  <c r="G137" i="29"/>
  <c r="D138" i="29"/>
  <c r="E138" i="29" s="1"/>
  <c r="J136" i="28"/>
  <c r="G141" i="25"/>
  <c r="D142" i="25"/>
  <c r="E142" i="25" s="1"/>
  <c r="G145" i="7"/>
  <c r="D146" i="7"/>
  <c r="E146" i="7" s="1"/>
  <c r="G143" i="8"/>
  <c r="D144" i="8"/>
  <c r="E144" i="8" s="1"/>
  <c r="G133" i="40"/>
  <c r="D134" i="40"/>
  <c r="E134" i="40"/>
  <c r="J135" i="30"/>
  <c r="J142" i="6"/>
  <c r="G142" i="5"/>
  <c r="D143" i="5"/>
  <c r="E143" i="5" s="1"/>
  <c r="G136" i="30"/>
  <c r="D137" i="30"/>
  <c r="E137" i="30" s="1"/>
  <c r="D138" i="28"/>
  <c r="E138" i="28" s="1"/>
  <c r="G137" i="28"/>
  <c r="G143" i="6"/>
  <c r="D144" i="6"/>
  <c r="E144" i="6" s="1"/>
  <c r="G144" i="9"/>
  <c r="D145" i="9"/>
  <c r="E145" i="9" s="1"/>
  <c r="G137" i="31"/>
  <c r="D138" i="31"/>
  <c r="E138" i="31" s="1"/>
  <c r="G145" i="10"/>
  <c r="D146" i="10"/>
  <c r="E146" i="10" s="1"/>
  <c r="G138" i="27"/>
  <c r="D139" i="27"/>
  <c r="E139" i="27" s="1"/>
  <c r="G134" i="39"/>
  <c r="D135" i="39"/>
  <c r="E135" i="39"/>
  <c r="G140" i="23"/>
  <c r="D141" i="23"/>
  <c r="E141" i="23" s="1"/>
  <c r="G142" i="3"/>
  <c r="D143" i="3"/>
  <c r="E143" i="3" s="1"/>
  <c r="J144" i="10"/>
  <c r="J141" i="4"/>
  <c r="J141" i="3"/>
  <c r="I138" i="38" l="1"/>
  <c r="H138" i="38"/>
  <c r="G139" i="41"/>
  <c r="D140" i="41"/>
  <c r="B140" i="41" s="1"/>
  <c r="G138" i="42"/>
  <c r="D139" i="42"/>
  <c r="B139" i="42" s="1"/>
  <c r="E139" i="42"/>
  <c r="E139" i="38"/>
  <c r="F139" i="38" s="1"/>
  <c r="B139" i="38"/>
  <c r="H134" i="39"/>
  <c r="I134" i="39"/>
  <c r="B143" i="3"/>
  <c r="F143" i="3"/>
  <c r="H140" i="23"/>
  <c r="I140" i="23"/>
  <c r="B146" i="10"/>
  <c r="F146" i="10"/>
  <c r="H137" i="31"/>
  <c r="I137" i="31"/>
  <c r="H137" i="28"/>
  <c r="I137" i="28"/>
  <c r="H136" i="30"/>
  <c r="I136" i="30"/>
  <c r="I133" i="40"/>
  <c r="H133" i="40"/>
  <c r="B142" i="25"/>
  <c r="F142" i="25"/>
  <c r="B138" i="29"/>
  <c r="F138" i="29"/>
  <c r="H141" i="22"/>
  <c r="I141" i="22"/>
  <c r="B135" i="43"/>
  <c r="F135" i="43"/>
  <c r="H144" i="11"/>
  <c r="I144" i="11"/>
  <c r="H142" i="3"/>
  <c r="I142" i="3"/>
  <c r="B139" i="27"/>
  <c r="F139" i="27"/>
  <c r="H145" i="10"/>
  <c r="I145" i="10"/>
  <c r="B144" i="6"/>
  <c r="F144" i="6"/>
  <c r="B138" i="28"/>
  <c r="F138" i="28"/>
  <c r="B146" i="7"/>
  <c r="F146" i="7"/>
  <c r="I141" i="25"/>
  <c r="H141" i="25"/>
  <c r="H137" i="29"/>
  <c r="I137" i="29"/>
  <c r="B140" i="24"/>
  <c r="F140" i="24"/>
  <c r="H134" i="43"/>
  <c r="I134" i="43"/>
  <c r="B135" i="39"/>
  <c r="F135" i="39"/>
  <c r="I138" i="27"/>
  <c r="H138" i="27"/>
  <c r="B145" i="9"/>
  <c r="F145" i="9"/>
  <c r="I143" i="6"/>
  <c r="H143" i="6"/>
  <c r="B143" i="5"/>
  <c r="F143" i="5"/>
  <c r="B144" i="8"/>
  <c r="F144" i="8"/>
  <c r="I145" i="7"/>
  <c r="H145" i="7"/>
  <c r="B135" i="37"/>
  <c r="F135" i="37"/>
  <c r="H139" i="24"/>
  <c r="I139" i="24"/>
  <c r="B143" i="4"/>
  <c r="F143" i="4"/>
  <c r="B141" i="23"/>
  <c r="F141" i="23"/>
  <c r="B138" i="31"/>
  <c r="F138" i="31"/>
  <c r="I144" i="9"/>
  <c r="H144" i="9"/>
  <c r="B137" i="30"/>
  <c r="F137" i="30"/>
  <c r="I142" i="5"/>
  <c r="H142" i="5"/>
  <c r="B134" i="40"/>
  <c r="F134" i="40"/>
  <c r="H143" i="8"/>
  <c r="I143" i="8"/>
  <c r="B142" i="22"/>
  <c r="F142" i="22"/>
  <c r="H134" i="37"/>
  <c r="I134" i="37"/>
  <c r="B145" i="11"/>
  <c r="F145" i="11"/>
  <c r="H142" i="4"/>
  <c r="I142" i="4"/>
  <c r="F139" i="42" l="1"/>
  <c r="E140" i="41"/>
  <c r="D140" i="42"/>
  <c r="G139" i="42"/>
  <c r="I139" i="41"/>
  <c r="H139" i="41"/>
  <c r="G139" i="38"/>
  <c r="D140" i="38"/>
  <c r="B140" i="38" s="1"/>
  <c r="H138" i="42"/>
  <c r="I138" i="42"/>
  <c r="F140" i="41"/>
  <c r="J137" i="31"/>
  <c r="J142" i="5"/>
  <c r="J145" i="7"/>
  <c r="J136" i="30"/>
  <c r="J137" i="29"/>
  <c r="J142" i="4"/>
  <c r="J143" i="8"/>
  <c r="G141" i="23"/>
  <c r="D142" i="23"/>
  <c r="E142" i="23" s="1"/>
  <c r="G143" i="5"/>
  <c r="D144" i="5"/>
  <c r="E144" i="5" s="1"/>
  <c r="D146" i="9"/>
  <c r="E146" i="9" s="1"/>
  <c r="G145" i="9"/>
  <c r="G135" i="39"/>
  <c r="D136" i="39"/>
  <c r="E136" i="39" s="1"/>
  <c r="G140" i="24"/>
  <c r="D141" i="24"/>
  <c r="E141" i="24"/>
  <c r="G138" i="28"/>
  <c r="D139" i="28"/>
  <c r="E139" i="28"/>
  <c r="J145" i="10"/>
  <c r="J142" i="3"/>
  <c r="G135" i="43"/>
  <c r="D136" i="43"/>
  <c r="E136" i="43"/>
  <c r="G138" i="29"/>
  <c r="D139" i="29"/>
  <c r="E139" i="29"/>
  <c r="J137" i="28"/>
  <c r="D147" i="10"/>
  <c r="E147" i="10" s="1"/>
  <c r="G146" i="10"/>
  <c r="G143" i="3"/>
  <c r="D144" i="3"/>
  <c r="E144" i="3" s="1"/>
  <c r="G145" i="11"/>
  <c r="D146" i="11"/>
  <c r="E146" i="11" s="1"/>
  <c r="G142" i="22"/>
  <c r="D143" i="22"/>
  <c r="E143" i="22" s="1"/>
  <c r="G134" i="40"/>
  <c r="D135" i="40"/>
  <c r="E135" i="40"/>
  <c r="G137" i="30"/>
  <c r="D138" i="30"/>
  <c r="E138" i="30" s="1"/>
  <c r="G138" i="31"/>
  <c r="D139" i="31"/>
  <c r="E139" i="31" s="1"/>
  <c r="G143" i="4"/>
  <c r="D144" i="4"/>
  <c r="E144" i="4" s="1"/>
  <c r="G135" i="37"/>
  <c r="D136" i="37"/>
  <c r="E136" i="37" s="1"/>
  <c r="D145" i="8"/>
  <c r="E145" i="8" s="1"/>
  <c r="G144" i="8"/>
  <c r="G146" i="7"/>
  <c r="D147" i="7"/>
  <c r="E147" i="7" s="1"/>
  <c r="G144" i="6"/>
  <c r="D145" i="6"/>
  <c r="E145" i="6" s="1"/>
  <c r="G139" i="27"/>
  <c r="D140" i="27"/>
  <c r="E140" i="27"/>
  <c r="G142" i="25"/>
  <c r="D143" i="25"/>
  <c r="E143" i="25" s="1"/>
  <c r="J143" i="6"/>
  <c r="J138" i="27"/>
  <c r="E140" i="38" l="1"/>
  <c r="F140" i="38" s="1"/>
  <c r="D141" i="38" s="1"/>
  <c r="B141" i="38" s="1"/>
  <c r="G140" i="41"/>
  <c r="D141" i="41"/>
  <c r="H139" i="42"/>
  <c r="I139" i="42"/>
  <c r="E141" i="38"/>
  <c r="H139" i="38"/>
  <c r="I139" i="38"/>
  <c r="E140" i="42"/>
  <c r="F140" i="42"/>
  <c r="B140" i="42"/>
  <c r="I142" i="25"/>
  <c r="H142" i="25"/>
  <c r="B145" i="8"/>
  <c r="F145" i="8"/>
  <c r="B145" i="6"/>
  <c r="F145" i="6"/>
  <c r="H146" i="7"/>
  <c r="I146" i="7"/>
  <c r="B144" i="4"/>
  <c r="F144" i="4"/>
  <c r="H138" i="31"/>
  <c r="I138" i="31"/>
  <c r="B143" i="22"/>
  <c r="F143" i="22"/>
  <c r="H145" i="11"/>
  <c r="I145" i="11"/>
  <c r="B136" i="43"/>
  <c r="F136" i="43"/>
  <c r="F141" i="24"/>
  <c r="B141" i="24"/>
  <c r="H135" i="39"/>
  <c r="I135" i="39"/>
  <c r="B142" i="23"/>
  <c r="F142" i="23"/>
  <c r="B136" i="37"/>
  <c r="F136" i="37"/>
  <c r="B135" i="40"/>
  <c r="F135" i="40"/>
  <c r="I142" i="22"/>
  <c r="H142" i="22"/>
  <c r="H146" i="10"/>
  <c r="I146" i="10"/>
  <c r="B139" i="29"/>
  <c r="F139" i="29"/>
  <c r="I135" i="43"/>
  <c r="H135" i="43"/>
  <c r="B139" i="28"/>
  <c r="F139" i="28"/>
  <c r="I140" i="24"/>
  <c r="H140" i="24"/>
  <c r="B144" i="5"/>
  <c r="F144" i="5"/>
  <c r="H141" i="23"/>
  <c r="I141" i="23"/>
  <c r="B140" i="27"/>
  <c r="F140" i="27"/>
  <c r="H144" i="6"/>
  <c r="I144" i="6"/>
  <c r="H143" i="4"/>
  <c r="I143" i="4"/>
  <c r="B143" i="25"/>
  <c r="F143" i="25"/>
  <c r="H139" i="27"/>
  <c r="I139" i="27"/>
  <c r="H144" i="8"/>
  <c r="I144" i="8"/>
  <c r="H135" i="37"/>
  <c r="I135" i="37"/>
  <c r="B138" i="30"/>
  <c r="F138" i="30"/>
  <c r="H134" i="40"/>
  <c r="I134" i="40"/>
  <c r="B144" i="3"/>
  <c r="F144" i="3"/>
  <c r="B147" i="10"/>
  <c r="F147" i="10"/>
  <c r="H138" i="29"/>
  <c r="I138" i="29"/>
  <c r="I138" i="28"/>
  <c r="H138" i="28"/>
  <c r="H145" i="9"/>
  <c r="I145" i="9"/>
  <c r="H143" i="5"/>
  <c r="I143" i="5"/>
  <c r="B147" i="7"/>
  <c r="F147" i="7"/>
  <c r="B139" i="31"/>
  <c r="F139" i="31"/>
  <c r="H137" i="30"/>
  <c r="I137" i="30"/>
  <c r="B146" i="11"/>
  <c r="F146" i="11"/>
  <c r="H143" i="3"/>
  <c r="I143" i="3"/>
  <c r="B136" i="39"/>
  <c r="F136" i="39"/>
  <c r="B146" i="9"/>
  <c r="F146" i="9"/>
  <c r="G140" i="38" l="1"/>
  <c r="F141" i="38"/>
  <c r="D141" i="42"/>
  <c r="G140" i="42"/>
  <c r="G141" i="38"/>
  <c r="D142" i="38"/>
  <c r="I140" i="38"/>
  <c r="H140" i="38"/>
  <c r="E141" i="41"/>
  <c r="F141" i="41" s="1"/>
  <c r="B141" i="41"/>
  <c r="H140" i="41"/>
  <c r="I140" i="41"/>
  <c r="J138" i="28"/>
  <c r="G146" i="9"/>
  <c r="D147" i="9"/>
  <c r="E147" i="9" s="1"/>
  <c r="J143" i="3"/>
  <c r="J137" i="30"/>
  <c r="G147" i="7"/>
  <c r="D148" i="7"/>
  <c r="E148" i="7" s="1"/>
  <c r="J138" i="29"/>
  <c r="G144" i="3"/>
  <c r="D145" i="3"/>
  <c r="E145" i="3" s="1"/>
  <c r="G138" i="30"/>
  <c r="D139" i="30"/>
  <c r="E139" i="30"/>
  <c r="J144" i="8"/>
  <c r="G143" i="25"/>
  <c r="D144" i="25"/>
  <c r="E144" i="25" s="1"/>
  <c r="J144" i="6"/>
  <c r="J146" i="10"/>
  <c r="G135" i="40"/>
  <c r="D136" i="40"/>
  <c r="E136" i="40" s="1"/>
  <c r="G142" i="23"/>
  <c r="D143" i="23"/>
  <c r="E143" i="23" s="1"/>
  <c r="J138" i="31"/>
  <c r="J146" i="7"/>
  <c r="G145" i="8"/>
  <c r="D146" i="8"/>
  <c r="E146" i="8" s="1"/>
  <c r="G141" i="24"/>
  <c r="D142" i="24"/>
  <c r="E142" i="24" s="1"/>
  <c r="G136" i="39"/>
  <c r="D137" i="39"/>
  <c r="E137" i="39" s="1"/>
  <c r="G146" i="11"/>
  <c r="D147" i="11"/>
  <c r="E147" i="11" s="1"/>
  <c r="G139" i="31"/>
  <c r="D140" i="31"/>
  <c r="E140" i="31" s="1"/>
  <c r="J143" i="5"/>
  <c r="G147" i="10"/>
  <c r="D148" i="10"/>
  <c r="E148" i="10" s="1"/>
  <c r="J139" i="27"/>
  <c r="J143" i="4"/>
  <c r="G140" i="27"/>
  <c r="D141" i="27"/>
  <c r="E141" i="27" s="1"/>
  <c r="G144" i="5"/>
  <c r="D145" i="5"/>
  <c r="E145" i="5" s="1"/>
  <c r="G139" i="28"/>
  <c r="D140" i="28"/>
  <c r="E140" i="28"/>
  <c r="D140" i="29"/>
  <c r="E140" i="29" s="1"/>
  <c r="G139" i="29"/>
  <c r="G136" i="37"/>
  <c r="D137" i="37"/>
  <c r="E137" i="37" s="1"/>
  <c r="G136" i="43"/>
  <c r="D137" i="43"/>
  <c r="E137" i="43" s="1"/>
  <c r="G143" i="22"/>
  <c r="D144" i="22"/>
  <c r="E144" i="22" s="1"/>
  <c r="G144" i="4"/>
  <c r="D145" i="4"/>
  <c r="E145" i="4" s="1"/>
  <c r="G145" i="6"/>
  <c r="D146" i="6"/>
  <c r="E146" i="6" s="1"/>
  <c r="G141" i="41" l="1"/>
  <c r="D142" i="41"/>
  <c r="B142" i="41" s="1"/>
  <c r="E142" i="41"/>
  <c r="F142" i="41" s="1"/>
  <c r="I141" i="38"/>
  <c r="H141" i="38"/>
  <c r="I140" i="42"/>
  <c r="H140" i="42"/>
  <c r="E142" i="38"/>
  <c r="F142" i="38" s="1"/>
  <c r="B142" i="38"/>
  <c r="E141" i="42"/>
  <c r="F141" i="42" s="1"/>
  <c r="B141" i="42"/>
  <c r="B146" i="6"/>
  <c r="F146" i="6"/>
  <c r="H144" i="4"/>
  <c r="I144" i="4"/>
  <c r="B137" i="37"/>
  <c r="F137" i="37"/>
  <c r="B140" i="29"/>
  <c r="F140" i="29"/>
  <c r="B141" i="27"/>
  <c r="F141" i="27"/>
  <c r="B147" i="11"/>
  <c r="F147" i="11"/>
  <c r="H136" i="39"/>
  <c r="I136" i="39"/>
  <c r="B148" i="10"/>
  <c r="F148" i="10"/>
  <c r="B140" i="31"/>
  <c r="F140" i="31"/>
  <c r="I146" i="11"/>
  <c r="H146" i="11"/>
  <c r="B146" i="8"/>
  <c r="F146" i="8"/>
  <c r="B136" i="40"/>
  <c r="F136" i="40"/>
  <c r="B145" i="3"/>
  <c r="F145" i="3"/>
  <c r="B148" i="7"/>
  <c r="F148" i="7"/>
  <c r="B137" i="43"/>
  <c r="F137" i="43"/>
  <c r="H136" i="37"/>
  <c r="I136" i="37"/>
  <c r="H140" i="27"/>
  <c r="I140" i="27"/>
  <c r="B140" i="28"/>
  <c r="F140" i="28"/>
  <c r="H144" i="5"/>
  <c r="I144" i="5"/>
  <c r="H147" i="10"/>
  <c r="I147" i="10"/>
  <c r="H139" i="31"/>
  <c r="I139" i="31"/>
  <c r="B142" i="24"/>
  <c r="F142" i="24"/>
  <c r="H145" i="8"/>
  <c r="I145" i="8"/>
  <c r="B143" i="23"/>
  <c r="F143" i="23"/>
  <c r="H135" i="40"/>
  <c r="I135" i="40"/>
  <c r="B144" i="25"/>
  <c r="F144" i="25"/>
  <c r="B139" i="30"/>
  <c r="F139" i="30"/>
  <c r="H144" i="3"/>
  <c r="I144" i="3"/>
  <c r="H147" i="7"/>
  <c r="I147" i="7"/>
  <c r="B147" i="9"/>
  <c r="F147" i="9"/>
  <c r="H145" i="6"/>
  <c r="I145" i="6"/>
  <c r="B145" i="5"/>
  <c r="F145" i="5"/>
  <c r="B144" i="22"/>
  <c r="F144" i="22"/>
  <c r="I136" i="43"/>
  <c r="H136" i="43"/>
  <c r="B145" i="4"/>
  <c r="F145" i="4"/>
  <c r="I143" i="22"/>
  <c r="H143" i="22"/>
  <c r="H139" i="29"/>
  <c r="I139" i="29"/>
  <c r="H139" i="28"/>
  <c r="I139" i="28"/>
  <c r="B137" i="39"/>
  <c r="F137" i="39"/>
  <c r="H141" i="24"/>
  <c r="I141" i="24"/>
  <c r="I142" i="23"/>
  <c r="H142" i="23"/>
  <c r="H143" i="25"/>
  <c r="I143" i="25"/>
  <c r="I138" i="30"/>
  <c r="H138" i="30"/>
  <c r="I146" i="9"/>
  <c r="H146" i="9"/>
  <c r="D143" i="38" l="1"/>
  <c r="G142" i="38"/>
  <c r="D142" i="42"/>
  <c r="G141" i="42"/>
  <c r="G142" i="41"/>
  <c r="D143" i="41"/>
  <c r="I141" i="41"/>
  <c r="H141" i="41"/>
  <c r="J144" i="4"/>
  <c r="J138" i="30"/>
  <c r="J139" i="28"/>
  <c r="D146" i="5"/>
  <c r="E146" i="5" s="1"/>
  <c r="G145" i="5"/>
  <c r="G147" i="9"/>
  <c r="D148" i="9"/>
  <c r="E148" i="9" s="1"/>
  <c r="J144" i="3"/>
  <c r="G144" i="25"/>
  <c r="D145" i="25"/>
  <c r="E145" i="25" s="1"/>
  <c r="G143" i="23"/>
  <c r="D144" i="23"/>
  <c r="E144" i="23" s="1"/>
  <c r="G142" i="24"/>
  <c r="D143" i="24"/>
  <c r="E143" i="24" s="1"/>
  <c r="J147" i="10"/>
  <c r="G140" i="28"/>
  <c r="D141" i="28"/>
  <c r="E141" i="28"/>
  <c r="G148" i="7"/>
  <c r="D149" i="7"/>
  <c r="E149" i="7" s="1"/>
  <c r="G136" i="40"/>
  <c r="D137" i="40"/>
  <c r="E137" i="40" s="1"/>
  <c r="G148" i="10"/>
  <c r="D149" i="10"/>
  <c r="E149" i="10" s="1"/>
  <c r="D148" i="11"/>
  <c r="E148" i="11" s="1"/>
  <c r="G147" i="11"/>
  <c r="G140" i="29"/>
  <c r="D141" i="29"/>
  <c r="E141" i="29"/>
  <c r="G137" i="39"/>
  <c r="D138" i="39"/>
  <c r="E138" i="39" s="1"/>
  <c r="J139" i="29"/>
  <c r="G145" i="4"/>
  <c r="D146" i="4"/>
  <c r="E146" i="4" s="1"/>
  <c r="G144" i="22"/>
  <c r="D145" i="22"/>
  <c r="E145" i="22" s="1"/>
  <c r="J145" i="6"/>
  <c r="J147" i="7"/>
  <c r="G139" i="30"/>
  <c r="D140" i="30"/>
  <c r="E140" i="30" s="1"/>
  <c r="J145" i="8"/>
  <c r="J139" i="31"/>
  <c r="J144" i="5"/>
  <c r="J140" i="27"/>
  <c r="G137" i="43"/>
  <c r="D138" i="43"/>
  <c r="E138" i="43"/>
  <c r="G145" i="3"/>
  <c r="D146" i="3"/>
  <c r="E146" i="3" s="1"/>
  <c r="G146" i="8"/>
  <c r="D147" i="8"/>
  <c r="E147" i="8" s="1"/>
  <c r="G140" i="31"/>
  <c r="D141" i="31"/>
  <c r="E141" i="31" s="1"/>
  <c r="G141" i="27"/>
  <c r="D142" i="27"/>
  <c r="E142" i="27" s="1"/>
  <c r="G137" i="37"/>
  <c r="D138" i="37"/>
  <c r="E138" i="37"/>
  <c r="G146" i="6"/>
  <c r="D147" i="6"/>
  <c r="E147" i="6" s="1"/>
  <c r="I141" i="42" l="1"/>
  <c r="H141" i="42"/>
  <c r="E142" i="42"/>
  <c r="F142" i="42" s="1"/>
  <c r="B142" i="42"/>
  <c r="E143" i="41"/>
  <c r="F143" i="41" s="1"/>
  <c r="B143" i="41"/>
  <c r="H142" i="38"/>
  <c r="I142" i="38"/>
  <c r="H142" i="41"/>
  <c r="I142" i="41"/>
  <c r="E143" i="38"/>
  <c r="F143" i="38" s="1"/>
  <c r="B143" i="38"/>
  <c r="H146" i="6"/>
  <c r="I146" i="6"/>
  <c r="B146" i="4"/>
  <c r="F146" i="4"/>
  <c r="B138" i="43"/>
  <c r="F138" i="43"/>
  <c r="H139" i="30"/>
  <c r="I139" i="30"/>
  <c r="H145" i="4"/>
  <c r="I145" i="4"/>
  <c r="I137" i="39"/>
  <c r="H137" i="39"/>
  <c r="B138" i="37"/>
  <c r="F138" i="37"/>
  <c r="H141" i="27"/>
  <c r="I141" i="27"/>
  <c r="B146" i="3"/>
  <c r="F146" i="3"/>
  <c r="I137" i="43"/>
  <c r="H137" i="43"/>
  <c r="I144" i="22"/>
  <c r="H144" i="22"/>
  <c r="I147" i="11"/>
  <c r="H147" i="11"/>
  <c r="I148" i="10"/>
  <c r="H148" i="10"/>
  <c r="B141" i="28"/>
  <c r="F141" i="28"/>
  <c r="B143" i="24"/>
  <c r="F143" i="24"/>
  <c r="H143" i="23"/>
  <c r="I143" i="23"/>
  <c r="B141" i="31"/>
  <c r="F141" i="31"/>
  <c r="I146" i="8"/>
  <c r="H146" i="8"/>
  <c r="B142" i="27"/>
  <c r="F142" i="27"/>
  <c r="H140" i="31"/>
  <c r="I140" i="31"/>
  <c r="B147" i="6"/>
  <c r="F147" i="6"/>
  <c r="H137" i="37"/>
  <c r="I137" i="37"/>
  <c r="B147" i="8"/>
  <c r="F147" i="8"/>
  <c r="H145" i="3"/>
  <c r="I145" i="3"/>
  <c r="B141" i="29"/>
  <c r="F141" i="29"/>
  <c r="B148" i="11"/>
  <c r="F148" i="11"/>
  <c r="B149" i="7"/>
  <c r="F149" i="7"/>
  <c r="H140" i="28"/>
  <c r="I140" i="28"/>
  <c r="I142" i="24"/>
  <c r="H142" i="24"/>
  <c r="H145" i="5"/>
  <c r="I145" i="5"/>
  <c r="B140" i="30"/>
  <c r="F140" i="30"/>
  <c r="B138" i="39"/>
  <c r="F138" i="39"/>
  <c r="H140" i="29"/>
  <c r="I140" i="29"/>
  <c r="B137" i="40"/>
  <c r="F137" i="40"/>
  <c r="I148" i="7"/>
  <c r="H148" i="7"/>
  <c r="B145" i="25"/>
  <c r="F145" i="25"/>
  <c r="B148" i="9"/>
  <c r="F148" i="9"/>
  <c r="B146" i="5"/>
  <c r="F146" i="5"/>
  <c r="B145" i="22"/>
  <c r="F145" i="22"/>
  <c r="B149" i="10"/>
  <c r="F149" i="10"/>
  <c r="I136" i="40"/>
  <c r="H136" i="40"/>
  <c r="B144" i="23"/>
  <c r="F144" i="23"/>
  <c r="I144" i="25"/>
  <c r="H144" i="25"/>
  <c r="H147" i="9"/>
  <c r="I147" i="9"/>
  <c r="G142" i="42" l="1"/>
  <c r="D143" i="42"/>
  <c r="B143" i="42" s="1"/>
  <c r="G143" i="38"/>
  <c r="D144" i="38"/>
  <c r="B144" i="38" s="1"/>
  <c r="D144" i="41"/>
  <c r="G143" i="41"/>
  <c r="J145" i="4"/>
  <c r="J146" i="6"/>
  <c r="J148" i="7"/>
  <c r="J146" i="8"/>
  <c r="G144" i="23"/>
  <c r="D145" i="23"/>
  <c r="E145" i="23" s="1"/>
  <c r="G149" i="10"/>
  <c r="D150" i="10"/>
  <c r="E150" i="10" s="1"/>
  <c r="G146" i="5"/>
  <c r="D147" i="5"/>
  <c r="E147" i="5" s="1"/>
  <c r="G145" i="25"/>
  <c r="D146" i="25"/>
  <c r="E146" i="25" s="1"/>
  <c r="G137" i="40"/>
  <c r="D138" i="40"/>
  <c r="E138" i="40" s="1"/>
  <c r="G138" i="39"/>
  <c r="D139" i="39"/>
  <c r="E139" i="39"/>
  <c r="J145" i="5"/>
  <c r="J140" i="28"/>
  <c r="G148" i="11"/>
  <c r="D149" i="11"/>
  <c r="E149" i="11" s="1"/>
  <c r="J145" i="3"/>
  <c r="J140" i="31"/>
  <c r="G141" i="28"/>
  <c r="D142" i="28"/>
  <c r="E142" i="28" s="1"/>
  <c r="J141" i="27"/>
  <c r="J139" i="30"/>
  <c r="G146" i="4"/>
  <c r="D147" i="4"/>
  <c r="E147" i="4" s="1"/>
  <c r="G145" i="22"/>
  <c r="D146" i="22"/>
  <c r="E146" i="22" s="1"/>
  <c r="G148" i="9"/>
  <c r="D149" i="9"/>
  <c r="E149" i="9" s="1"/>
  <c r="J140" i="29"/>
  <c r="G140" i="30"/>
  <c r="D141" i="30"/>
  <c r="E141" i="30"/>
  <c r="G149" i="7"/>
  <c r="D150" i="7"/>
  <c r="E150" i="7" s="1"/>
  <c r="G141" i="29"/>
  <c r="D142" i="29"/>
  <c r="E142" i="29" s="1"/>
  <c r="G147" i="8"/>
  <c r="D148" i="8"/>
  <c r="E148" i="8" s="1"/>
  <c r="G147" i="6"/>
  <c r="D148" i="6"/>
  <c r="E148" i="6" s="1"/>
  <c r="G142" i="27"/>
  <c r="D143" i="27"/>
  <c r="E143" i="27" s="1"/>
  <c r="G141" i="31"/>
  <c r="D142" i="31"/>
  <c r="E142" i="31" s="1"/>
  <c r="G143" i="24"/>
  <c r="D144" i="24"/>
  <c r="E144" i="24" s="1"/>
  <c r="G146" i="3"/>
  <c r="D147" i="3"/>
  <c r="G138" i="37"/>
  <c r="D139" i="37"/>
  <c r="E139" i="37" s="1"/>
  <c r="G138" i="43"/>
  <c r="D139" i="43"/>
  <c r="E139" i="43"/>
  <c r="J148" i="10"/>
  <c r="E144" i="38" l="1"/>
  <c r="F144" i="38" s="1"/>
  <c r="E143" i="42"/>
  <c r="F143" i="42" s="1"/>
  <c r="D144" i="42" s="1"/>
  <c r="H143" i="41"/>
  <c r="I143" i="41"/>
  <c r="H143" i="38"/>
  <c r="I143" i="38"/>
  <c r="E144" i="41"/>
  <c r="F144" i="41" s="1"/>
  <c r="B144" i="41"/>
  <c r="G144" i="38"/>
  <c r="D145" i="38"/>
  <c r="B145" i="38" s="1"/>
  <c r="I142" i="42"/>
  <c r="H142" i="42"/>
  <c r="B147" i="3"/>
  <c r="B143" i="27"/>
  <c r="F143" i="27"/>
  <c r="H147" i="6"/>
  <c r="I147" i="6"/>
  <c r="B139" i="43"/>
  <c r="F139" i="43"/>
  <c r="I138" i="37"/>
  <c r="H138" i="37"/>
  <c r="B142" i="31"/>
  <c r="F142" i="31"/>
  <c r="H142" i="27"/>
  <c r="I142" i="27"/>
  <c r="B142" i="29"/>
  <c r="F142" i="29"/>
  <c r="H149" i="7"/>
  <c r="I149" i="7"/>
  <c r="B147" i="4"/>
  <c r="F147" i="4"/>
  <c r="I138" i="39"/>
  <c r="H138" i="39"/>
  <c r="B147" i="5"/>
  <c r="F147" i="5"/>
  <c r="H149" i="10"/>
  <c r="I149" i="10"/>
  <c r="B139" i="37"/>
  <c r="F139" i="37"/>
  <c r="H146" i="3"/>
  <c r="I146" i="3"/>
  <c r="I138" i="43"/>
  <c r="H138" i="43"/>
  <c r="E147" i="3"/>
  <c r="F147" i="3" s="1"/>
  <c r="B144" i="24"/>
  <c r="F144" i="24"/>
  <c r="H141" i="31"/>
  <c r="I141" i="31"/>
  <c r="B148" i="8"/>
  <c r="F148" i="8"/>
  <c r="H141" i="29"/>
  <c r="I141" i="29"/>
  <c r="B146" i="22"/>
  <c r="F146" i="22"/>
  <c r="H146" i="4"/>
  <c r="I146" i="4"/>
  <c r="F142" i="28"/>
  <c r="B142" i="28"/>
  <c r="B146" i="25"/>
  <c r="F146" i="25"/>
  <c r="I146" i="5"/>
  <c r="H146" i="5"/>
  <c r="B148" i="6"/>
  <c r="F148" i="6"/>
  <c r="H147" i="8"/>
  <c r="I147" i="8"/>
  <c r="B141" i="30"/>
  <c r="F141" i="30"/>
  <c r="B149" i="9"/>
  <c r="F149" i="9"/>
  <c r="H145" i="22"/>
  <c r="I145" i="22"/>
  <c r="H141" i="28"/>
  <c r="I141" i="28"/>
  <c r="B149" i="11"/>
  <c r="F149" i="11"/>
  <c r="B138" i="40"/>
  <c r="F138" i="40"/>
  <c r="I145" i="25"/>
  <c r="H145" i="25"/>
  <c r="B145" i="23"/>
  <c r="F145" i="23"/>
  <c r="H143" i="24"/>
  <c r="I143" i="24"/>
  <c r="B150" i="7"/>
  <c r="F150" i="7"/>
  <c r="I140" i="30"/>
  <c r="H140" i="30"/>
  <c r="I148" i="9"/>
  <c r="H148" i="9"/>
  <c r="I148" i="11"/>
  <c r="H148" i="11"/>
  <c r="B139" i="39"/>
  <c r="F139" i="39"/>
  <c r="H137" i="40"/>
  <c r="I137" i="40"/>
  <c r="B150" i="10"/>
  <c r="F150" i="10"/>
  <c r="I144" i="23"/>
  <c r="H144" i="23"/>
  <c r="G143" i="42" l="1"/>
  <c r="J146" i="4"/>
  <c r="J141" i="29"/>
  <c r="J141" i="31"/>
  <c r="E145" i="38"/>
  <c r="F145" i="38" s="1"/>
  <c r="G145" i="38"/>
  <c r="D146" i="38"/>
  <c r="B146" i="38" s="1"/>
  <c r="E144" i="42"/>
  <c r="F144" i="42" s="1"/>
  <c r="B144" i="42"/>
  <c r="H144" i="38"/>
  <c r="I144" i="38"/>
  <c r="D145" i="41"/>
  <c r="G144" i="41"/>
  <c r="I143" i="42"/>
  <c r="H143" i="42"/>
  <c r="J146" i="5"/>
  <c r="J146" i="3"/>
  <c r="J149" i="10"/>
  <c r="J149" i="7"/>
  <c r="D148" i="3"/>
  <c r="E148" i="3" s="1"/>
  <c r="G147" i="3"/>
  <c r="D150" i="11"/>
  <c r="G149" i="11"/>
  <c r="G141" i="30"/>
  <c r="D142" i="30"/>
  <c r="E142" i="30"/>
  <c r="G146" i="25"/>
  <c r="D147" i="25"/>
  <c r="E147" i="25" s="1"/>
  <c r="J140" i="30"/>
  <c r="G139" i="37"/>
  <c r="D140" i="37"/>
  <c r="E140" i="37"/>
  <c r="G147" i="5"/>
  <c r="D148" i="5"/>
  <c r="E148" i="5" s="1"/>
  <c r="G147" i="4"/>
  <c r="D148" i="4"/>
  <c r="E148" i="4" s="1"/>
  <c r="G142" i="29"/>
  <c r="D143" i="29"/>
  <c r="E143" i="29" s="1"/>
  <c r="G142" i="31"/>
  <c r="D143" i="31"/>
  <c r="E143" i="31" s="1"/>
  <c r="G139" i="43"/>
  <c r="D140" i="43"/>
  <c r="E140" i="43" s="1"/>
  <c r="G143" i="27"/>
  <c r="D144" i="27"/>
  <c r="E144" i="27" s="1"/>
  <c r="G142" i="28"/>
  <c r="D143" i="28"/>
  <c r="E143" i="28" s="1"/>
  <c r="G148" i="6"/>
  <c r="D149" i="6"/>
  <c r="E149" i="6" s="1"/>
  <c r="G150" i="10"/>
  <c r="D151" i="10"/>
  <c r="E151" i="10" s="1"/>
  <c r="G139" i="39"/>
  <c r="D140" i="39"/>
  <c r="E140" i="39"/>
  <c r="G150" i="7"/>
  <c r="D151" i="7"/>
  <c r="G145" i="23"/>
  <c r="D146" i="23"/>
  <c r="E146" i="23" s="1"/>
  <c r="G138" i="40"/>
  <c r="D139" i="40"/>
  <c r="E139" i="40" s="1"/>
  <c r="J141" i="28"/>
  <c r="G149" i="9"/>
  <c r="D150" i="9"/>
  <c r="E150" i="9" s="1"/>
  <c r="J147" i="8"/>
  <c r="G146" i="22"/>
  <c r="D147" i="22"/>
  <c r="E147" i="22" s="1"/>
  <c r="G148" i="8"/>
  <c r="D149" i="8"/>
  <c r="E149" i="8" s="1"/>
  <c r="D145" i="24"/>
  <c r="E145" i="24" s="1"/>
  <c r="G144" i="24"/>
  <c r="J142" i="27"/>
  <c r="J147" i="6"/>
  <c r="E146" i="38" l="1"/>
  <c r="F146" i="38" s="1"/>
  <c r="G144" i="42"/>
  <c r="D145" i="42"/>
  <c r="B145" i="42" s="1"/>
  <c r="D147" i="38"/>
  <c r="B147" i="38" s="1"/>
  <c r="G146" i="38"/>
  <c r="H144" i="41"/>
  <c r="I144" i="41"/>
  <c r="E145" i="41"/>
  <c r="F145" i="41" s="1"/>
  <c r="B145" i="41"/>
  <c r="I145" i="38"/>
  <c r="H145" i="38"/>
  <c r="H144" i="24"/>
  <c r="I144" i="24"/>
  <c r="H148" i="8"/>
  <c r="I148" i="8"/>
  <c r="B151" i="7"/>
  <c r="H139" i="39"/>
  <c r="I139" i="39"/>
  <c r="B143" i="28"/>
  <c r="F143" i="28"/>
  <c r="H143" i="27"/>
  <c r="I143" i="27"/>
  <c r="B143" i="29"/>
  <c r="F143" i="29"/>
  <c r="H147" i="4"/>
  <c r="I147" i="4"/>
  <c r="B142" i="30"/>
  <c r="F142" i="30"/>
  <c r="B150" i="11"/>
  <c r="B145" i="24"/>
  <c r="F145" i="24"/>
  <c r="B146" i="23"/>
  <c r="F146" i="23"/>
  <c r="H150" i="7"/>
  <c r="I150" i="7"/>
  <c r="B149" i="6"/>
  <c r="F149" i="6"/>
  <c r="H142" i="28"/>
  <c r="I142" i="28"/>
  <c r="B143" i="31"/>
  <c r="F143" i="31"/>
  <c r="H142" i="29"/>
  <c r="I142" i="29"/>
  <c r="B140" i="37"/>
  <c r="F140" i="37"/>
  <c r="B147" i="25"/>
  <c r="F147" i="25"/>
  <c r="H141" i="30"/>
  <c r="I141" i="30"/>
  <c r="B147" i="22"/>
  <c r="F147" i="22"/>
  <c r="B150" i="9"/>
  <c r="F150" i="9"/>
  <c r="B139" i="40"/>
  <c r="F139" i="40"/>
  <c r="I145" i="23"/>
  <c r="H145" i="23"/>
  <c r="B151" i="10"/>
  <c r="F151" i="10"/>
  <c r="H148" i="6"/>
  <c r="I148" i="6"/>
  <c r="B140" i="43"/>
  <c r="F140" i="43"/>
  <c r="H142" i="31"/>
  <c r="I142" i="31"/>
  <c r="B148" i="5"/>
  <c r="F148" i="5"/>
  <c r="H139" i="37"/>
  <c r="I139" i="37"/>
  <c r="I146" i="25"/>
  <c r="H146" i="25"/>
  <c r="E150" i="11"/>
  <c r="F150" i="11" s="1"/>
  <c r="H147" i="3"/>
  <c r="I147" i="3"/>
  <c r="B149" i="8"/>
  <c r="F149" i="8"/>
  <c r="H146" i="22"/>
  <c r="I146" i="22"/>
  <c r="H149" i="9"/>
  <c r="I149" i="9"/>
  <c r="I138" i="40"/>
  <c r="H138" i="40"/>
  <c r="E151" i="7"/>
  <c r="F151" i="7" s="1"/>
  <c r="B140" i="39"/>
  <c r="F140" i="39"/>
  <c r="H150" i="10"/>
  <c r="I150" i="10"/>
  <c r="B144" i="27"/>
  <c r="F144" i="27"/>
  <c r="I139" i="43"/>
  <c r="H139" i="43"/>
  <c r="B148" i="4"/>
  <c r="F148" i="4"/>
  <c r="H147" i="5"/>
  <c r="I147" i="5"/>
  <c r="I149" i="11"/>
  <c r="H149" i="11"/>
  <c r="B148" i="3"/>
  <c r="F148" i="3"/>
  <c r="E145" i="42" l="1"/>
  <c r="F145" i="42" s="1"/>
  <c r="G145" i="42" s="1"/>
  <c r="J147" i="3"/>
  <c r="E147" i="38"/>
  <c r="F147" i="38" s="1"/>
  <c r="G145" i="41"/>
  <c r="D146" i="41"/>
  <c r="D146" i="42"/>
  <c r="H146" i="38"/>
  <c r="I146" i="38"/>
  <c r="H144" i="42"/>
  <c r="I144" i="42"/>
  <c r="J147" i="4"/>
  <c r="J143" i="27"/>
  <c r="J148" i="8"/>
  <c r="J142" i="31"/>
  <c r="J148" i="6"/>
  <c r="J141" i="30"/>
  <c r="G151" i="7"/>
  <c r="D152" i="7"/>
  <c r="E152" i="7" s="1"/>
  <c r="D151" i="11"/>
  <c r="E151" i="11" s="1"/>
  <c r="G150" i="11"/>
  <c r="G148" i="4"/>
  <c r="D149" i="4"/>
  <c r="G144" i="27"/>
  <c r="D145" i="27"/>
  <c r="E145" i="27" s="1"/>
  <c r="G140" i="39"/>
  <c r="D141" i="39"/>
  <c r="E141" i="39" s="1"/>
  <c r="G150" i="9"/>
  <c r="D151" i="9"/>
  <c r="E151" i="9" s="1"/>
  <c r="G140" i="37"/>
  <c r="D141" i="37"/>
  <c r="E141" i="37"/>
  <c r="G143" i="31"/>
  <c r="D144" i="31"/>
  <c r="E144" i="31" s="1"/>
  <c r="G149" i="6"/>
  <c r="D150" i="6"/>
  <c r="E150" i="6" s="1"/>
  <c r="G146" i="23"/>
  <c r="D147" i="23"/>
  <c r="E147" i="23" s="1"/>
  <c r="G149" i="8"/>
  <c r="D150" i="8"/>
  <c r="G148" i="3"/>
  <c r="D149" i="3"/>
  <c r="E149" i="3" s="1"/>
  <c r="J147" i="5"/>
  <c r="J150" i="10"/>
  <c r="G148" i="5"/>
  <c r="D149" i="5"/>
  <c r="G140" i="43"/>
  <c r="D141" i="43"/>
  <c r="E141" i="43" s="1"/>
  <c r="G151" i="10"/>
  <c r="D152" i="10"/>
  <c r="E152" i="10" s="1"/>
  <c r="G139" i="40"/>
  <c r="D140" i="40"/>
  <c r="E140" i="40"/>
  <c r="G147" i="22"/>
  <c r="D148" i="22"/>
  <c r="G147" i="25"/>
  <c r="D148" i="25"/>
  <c r="E148" i="25" s="1"/>
  <c r="J142" i="29"/>
  <c r="J142" i="28"/>
  <c r="J150" i="7"/>
  <c r="G145" i="24"/>
  <c r="D146" i="24"/>
  <c r="E146" i="24" s="1"/>
  <c r="G142" i="30"/>
  <c r="D143" i="30"/>
  <c r="E143" i="30" s="1"/>
  <c r="G143" i="29"/>
  <c r="D144" i="29"/>
  <c r="E144" i="29" s="1"/>
  <c r="D144" i="28"/>
  <c r="E144" i="28" s="1"/>
  <c r="G143" i="28"/>
  <c r="E146" i="41" l="1"/>
  <c r="F146" i="41" s="1"/>
  <c r="B146" i="41"/>
  <c r="H145" i="41"/>
  <c r="I145" i="41"/>
  <c r="I145" i="42"/>
  <c r="H145" i="42"/>
  <c r="E146" i="42"/>
  <c r="F146" i="42" s="1"/>
  <c r="B146" i="42"/>
  <c r="D148" i="38"/>
  <c r="G147" i="38"/>
  <c r="B143" i="30"/>
  <c r="F143" i="30"/>
  <c r="I145" i="24"/>
  <c r="H145" i="24"/>
  <c r="B148" i="22"/>
  <c r="I139" i="40"/>
  <c r="H139" i="40"/>
  <c r="B149" i="5"/>
  <c r="B150" i="8"/>
  <c r="I146" i="23"/>
  <c r="H146" i="23"/>
  <c r="B141" i="37"/>
  <c r="F141" i="37"/>
  <c r="I150" i="9"/>
  <c r="H150" i="9"/>
  <c r="B149" i="4"/>
  <c r="B151" i="11"/>
  <c r="F151" i="11"/>
  <c r="B149" i="3"/>
  <c r="F149" i="3"/>
  <c r="H149" i="8"/>
  <c r="I149" i="8"/>
  <c r="F144" i="31"/>
  <c r="B144" i="31"/>
  <c r="H140" i="37"/>
  <c r="I140" i="37"/>
  <c r="B145" i="27"/>
  <c r="F145" i="27"/>
  <c r="H148" i="4"/>
  <c r="I148" i="4"/>
  <c r="B144" i="29"/>
  <c r="F144" i="29"/>
  <c r="I142" i="30"/>
  <c r="H142" i="30"/>
  <c r="I147" i="22"/>
  <c r="H147" i="22"/>
  <c r="B141" i="43"/>
  <c r="F141" i="43"/>
  <c r="H148" i="5"/>
  <c r="I148" i="5"/>
  <c r="H143" i="28"/>
  <c r="I143" i="28"/>
  <c r="H143" i="29"/>
  <c r="I143" i="29"/>
  <c r="I147" i="25"/>
  <c r="H147" i="25"/>
  <c r="B152" i="10"/>
  <c r="F152" i="10"/>
  <c r="H140" i="43"/>
  <c r="I140" i="43"/>
  <c r="I148" i="3"/>
  <c r="H148" i="3"/>
  <c r="B150" i="6"/>
  <c r="F150" i="6"/>
  <c r="I143" i="31"/>
  <c r="H143" i="31"/>
  <c r="B141" i="39"/>
  <c r="F141" i="39"/>
  <c r="I144" i="27"/>
  <c r="H144" i="27"/>
  <c r="B152" i="7"/>
  <c r="F152" i="7"/>
  <c r="B148" i="25"/>
  <c r="F148" i="25"/>
  <c r="B144" i="28"/>
  <c r="F144" i="28"/>
  <c r="B146" i="24"/>
  <c r="F146" i="24"/>
  <c r="E148" i="22"/>
  <c r="F148" i="22" s="1"/>
  <c r="B140" i="40"/>
  <c r="F140" i="40"/>
  <c r="I151" i="10"/>
  <c r="H151" i="10"/>
  <c r="E149" i="5"/>
  <c r="F149" i="5" s="1"/>
  <c r="E150" i="8"/>
  <c r="F150" i="8" s="1"/>
  <c r="B147" i="23"/>
  <c r="F147" i="23"/>
  <c r="I149" i="6"/>
  <c r="H149" i="6"/>
  <c r="B151" i="9"/>
  <c r="F151" i="9"/>
  <c r="I140" i="39"/>
  <c r="H140" i="39"/>
  <c r="E149" i="4"/>
  <c r="F149" i="4" s="1"/>
  <c r="H150" i="11"/>
  <c r="I150" i="11"/>
  <c r="I151" i="7"/>
  <c r="H151" i="7"/>
  <c r="D147" i="42" l="1"/>
  <c r="G146" i="42"/>
  <c r="D147" i="41"/>
  <c r="G146" i="41"/>
  <c r="I147" i="38"/>
  <c r="H147" i="38"/>
  <c r="E148" i="38"/>
  <c r="F148" i="38" s="1"/>
  <c r="B148" i="38"/>
  <c r="J142" i="30"/>
  <c r="J151" i="7"/>
  <c r="J144" i="27"/>
  <c r="J143" i="31"/>
  <c r="J148" i="3"/>
  <c r="G148" i="22"/>
  <c r="D149" i="22"/>
  <c r="E149" i="22" s="1"/>
  <c r="G149" i="4"/>
  <c r="D150" i="4"/>
  <c r="E150" i="4" s="1"/>
  <c r="G150" i="8"/>
  <c r="D151" i="8"/>
  <c r="G149" i="5"/>
  <c r="D150" i="5"/>
  <c r="E150" i="5" s="1"/>
  <c r="J151" i="10"/>
  <c r="G146" i="24"/>
  <c r="D147" i="24"/>
  <c r="E147" i="24" s="1"/>
  <c r="G148" i="25"/>
  <c r="D149" i="25"/>
  <c r="E149" i="25" s="1"/>
  <c r="G152" i="10"/>
  <c r="D153" i="10"/>
  <c r="E153" i="10" s="1"/>
  <c r="J143" i="29"/>
  <c r="J148" i="5"/>
  <c r="G144" i="29"/>
  <c r="D145" i="29"/>
  <c r="E145" i="29" s="1"/>
  <c r="G145" i="27"/>
  <c r="D146" i="27"/>
  <c r="E146" i="27" s="1"/>
  <c r="G149" i="3"/>
  <c r="D150" i="3"/>
  <c r="G141" i="37"/>
  <c r="D142" i="37"/>
  <c r="E142" i="37" s="1"/>
  <c r="G144" i="31"/>
  <c r="D145" i="31"/>
  <c r="E145" i="31" s="1"/>
  <c r="G140" i="40"/>
  <c r="D141" i="40"/>
  <c r="E141" i="40" s="1"/>
  <c r="J149" i="6"/>
  <c r="G144" i="28"/>
  <c r="D145" i="28"/>
  <c r="E145" i="28" s="1"/>
  <c r="D153" i="7"/>
  <c r="G152" i="7"/>
  <c r="G141" i="39"/>
  <c r="D142" i="39"/>
  <c r="E142" i="39" s="1"/>
  <c r="G150" i="6"/>
  <c r="D151" i="6"/>
  <c r="E151" i="6" s="1"/>
  <c r="J143" i="28"/>
  <c r="G141" i="43"/>
  <c r="D142" i="43"/>
  <c r="E142" i="43"/>
  <c r="J148" i="4"/>
  <c r="J149" i="8"/>
  <c r="G151" i="11"/>
  <c r="D152" i="11"/>
  <c r="E152" i="11" s="1"/>
  <c r="G143" i="30"/>
  <c r="D144" i="30"/>
  <c r="E144" i="30" s="1"/>
  <c r="D152" i="9"/>
  <c r="E152" i="9" s="1"/>
  <c r="G151" i="9"/>
  <c r="G147" i="23"/>
  <c r="D148" i="23"/>
  <c r="E147" i="41" l="1"/>
  <c r="F147" i="41" s="1"/>
  <c r="B147" i="41"/>
  <c r="D149" i="38"/>
  <c r="G148" i="38"/>
  <c r="I146" i="42"/>
  <c r="H146" i="42"/>
  <c r="H146" i="41"/>
  <c r="I146" i="41"/>
  <c r="E147" i="42"/>
  <c r="B147" i="42"/>
  <c r="F147" i="42"/>
  <c r="H147" i="23"/>
  <c r="I147" i="23"/>
  <c r="B148" i="23"/>
  <c r="B152" i="9"/>
  <c r="F152" i="9"/>
  <c r="H152" i="7"/>
  <c r="I152" i="7"/>
  <c r="H144" i="28"/>
  <c r="I144" i="28"/>
  <c r="H140" i="40"/>
  <c r="I140" i="40"/>
  <c r="B150" i="3"/>
  <c r="H145" i="27"/>
  <c r="I145" i="27"/>
  <c r="I152" i="10"/>
  <c r="H152" i="10"/>
  <c r="B151" i="8"/>
  <c r="H149" i="4"/>
  <c r="I149" i="4"/>
  <c r="B152" i="11"/>
  <c r="F152" i="11"/>
  <c r="B142" i="39"/>
  <c r="F142" i="39"/>
  <c r="B153" i="7"/>
  <c r="B142" i="37"/>
  <c r="F142" i="37"/>
  <c r="H149" i="3"/>
  <c r="I149" i="3"/>
  <c r="B147" i="24"/>
  <c r="F147" i="24"/>
  <c r="B150" i="5"/>
  <c r="F150" i="5"/>
  <c r="I150" i="8"/>
  <c r="H150" i="8"/>
  <c r="B142" i="43"/>
  <c r="F142" i="43"/>
  <c r="B151" i="6"/>
  <c r="F151" i="6"/>
  <c r="H141" i="39"/>
  <c r="I141" i="39"/>
  <c r="B145" i="31"/>
  <c r="F145" i="31"/>
  <c r="I141" i="37"/>
  <c r="H141" i="37"/>
  <c r="B145" i="29"/>
  <c r="F145" i="29"/>
  <c r="B149" i="25"/>
  <c r="F149" i="25"/>
  <c r="H146" i="24"/>
  <c r="I146" i="24"/>
  <c r="H149" i="5"/>
  <c r="I149" i="5"/>
  <c r="B149" i="22"/>
  <c r="F149" i="22"/>
  <c r="B144" i="30"/>
  <c r="F144" i="30"/>
  <c r="I151" i="11"/>
  <c r="H151" i="11"/>
  <c r="E148" i="23"/>
  <c r="F148" i="23" s="1"/>
  <c r="I151" i="9"/>
  <c r="H151" i="9"/>
  <c r="H143" i="30"/>
  <c r="I143" i="30"/>
  <c r="I141" i="43"/>
  <c r="H141" i="43"/>
  <c r="H150" i="6"/>
  <c r="I150" i="6"/>
  <c r="E153" i="7"/>
  <c r="F153" i="7" s="1"/>
  <c r="B145" i="28"/>
  <c r="F145" i="28"/>
  <c r="B141" i="40"/>
  <c r="F141" i="40"/>
  <c r="I144" i="31"/>
  <c r="H144" i="31"/>
  <c r="E150" i="3"/>
  <c r="F150" i="3" s="1"/>
  <c r="B146" i="27"/>
  <c r="F146" i="27"/>
  <c r="H144" i="29"/>
  <c r="I144" i="29"/>
  <c r="J144" i="29" s="1"/>
  <c r="B153" i="10"/>
  <c r="F153" i="10"/>
  <c r="I148" i="25"/>
  <c r="H148" i="25"/>
  <c r="E151" i="8"/>
  <c r="F151" i="8" s="1"/>
  <c r="B150" i="4"/>
  <c r="F150" i="4"/>
  <c r="I148" i="22"/>
  <c r="H148" i="22"/>
  <c r="E149" i="38" l="1"/>
  <c r="F149" i="38"/>
  <c r="B149" i="38"/>
  <c r="G147" i="42"/>
  <c r="D148" i="42"/>
  <c r="G147" i="41"/>
  <c r="D148" i="41"/>
  <c r="B148" i="41" s="1"/>
  <c r="I148" i="38"/>
  <c r="H148" i="38"/>
  <c r="J150" i="6"/>
  <c r="J143" i="30"/>
  <c r="J145" i="27"/>
  <c r="J144" i="31"/>
  <c r="J152" i="10"/>
  <c r="J150" i="8"/>
  <c r="G151" i="8"/>
  <c r="D152" i="8"/>
  <c r="E152" i="8" s="1"/>
  <c r="G153" i="7"/>
  <c r="D154" i="7"/>
  <c r="E154" i="7" s="1"/>
  <c r="E155" i="7" s="1"/>
  <c r="G148" i="23"/>
  <c r="D149" i="23"/>
  <c r="D151" i="3"/>
  <c r="E151" i="3" s="1"/>
  <c r="G150" i="3"/>
  <c r="G153" i="10"/>
  <c r="D154" i="10"/>
  <c r="E154" i="10" s="1"/>
  <c r="E155" i="10" s="1"/>
  <c r="G141" i="40"/>
  <c r="D142" i="40"/>
  <c r="E142" i="40" s="1"/>
  <c r="G144" i="30"/>
  <c r="D145" i="30"/>
  <c r="E145" i="30" s="1"/>
  <c r="J149" i="5"/>
  <c r="G149" i="25"/>
  <c r="D150" i="25"/>
  <c r="G142" i="43"/>
  <c r="D143" i="43"/>
  <c r="E143" i="43" s="1"/>
  <c r="G150" i="5"/>
  <c r="D151" i="5"/>
  <c r="E151" i="5" s="1"/>
  <c r="J149" i="3"/>
  <c r="G152" i="11"/>
  <c r="D153" i="11"/>
  <c r="E153" i="11" s="1"/>
  <c r="J152" i="7"/>
  <c r="G150" i="4"/>
  <c r="D151" i="4"/>
  <c r="E151" i="4" s="1"/>
  <c r="G145" i="28"/>
  <c r="D146" i="28"/>
  <c r="E146" i="28" s="1"/>
  <c r="G149" i="22"/>
  <c r="D150" i="22"/>
  <c r="G145" i="29"/>
  <c r="D146" i="29"/>
  <c r="E146" i="29" s="1"/>
  <c r="G145" i="31"/>
  <c r="D146" i="31"/>
  <c r="E146" i="31" s="1"/>
  <c r="D152" i="6"/>
  <c r="E152" i="6" s="1"/>
  <c r="G151" i="6"/>
  <c r="G147" i="24"/>
  <c r="D148" i="24"/>
  <c r="G142" i="37"/>
  <c r="D143" i="37"/>
  <c r="E143" i="37" s="1"/>
  <c r="G142" i="39"/>
  <c r="D143" i="39"/>
  <c r="E143" i="39" s="1"/>
  <c r="J149" i="4"/>
  <c r="J144" i="28"/>
  <c r="D153" i="9"/>
  <c r="E153" i="9" s="1"/>
  <c r="G152" i="9"/>
  <c r="G146" i="27"/>
  <c r="D147" i="27"/>
  <c r="E147" i="27" s="1"/>
  <c r="E148" i="41" l="1"/>
  <c r="F148" i="41" s="1"/>
  <c r="G148" i="41" s="1"/>
  <c r="D149" i="41"/>
  <c r="B149" i="41" s="1"/>
  <c r="H147" i="41"/>
  <c r="I147" i="41"/>
  <c r="D150" i="38"/>
  <c r="G149" i="38"/>
  <c r="I147" i="42"/>
  <c r="H147" i="42"/>
  <c r="E148" i="42"/>
  <c r="F148" i="42" s="1"/>
  <c r="B148" i="42"/>
  <c r="B148" i="24"/>
  <c r="F152" i="6"/>
  <c r="B152" i="6"/>
  <c r="B150" i="22"/>
  <c r="H145" i="28"/>
  <c r="I145" i="28"/>
  <c r="B150" i="25"/>
  <c r="B145" i="30"/>
  <c r="F145" i="30"/>
  <c r="I141" i="40"/>
  <c r="H141" i="40"/>
  <c r="B149" i="23"/>
  <c r="I153" i="7"/>
  <c r="H153" i="7"/>
  <c r="B153" i="9"/>
  <c r="F153" i="9"/>
  <c r="H152" i="9"/>
  <c r="I152" i="9"/>
  <c r="B143" i="37"/>
  <c r="F143" i="37"/>
  <c r="H147" i="24"/>
  <c r="I147" i="24"/>
  <c r="B146" i="29"/>
  <c r="F146" i="29"/>
  <c r="H149" i="22"/>
  <c r="I149" i="22"/>
  <c r="B143" i="43"/>
  <c r="F143" i="43"/>
  <c r="H149" i="25"/>
  <c r="I149" i="25"/>
  <c r="H144" i="30"/>
  <c r="I144" i="30"/>
  <c r="H150" i="3"/>
  <c r="I150" i="3"/>
  <c r="H148" i="23"/>
  <c r="I148" i="23"/>
  <c r="B143" i="39"/>
  <c r="F143" i="39"/>
  <c r="I142" i="37"/>
  <c r="H142" i="37"/>
  <c r="B146" i="31"/>
  <c r="F146" i="31"/>
  <c r="H145" i="29"/>
  <c r="I145" i="29"/>
  <c r="B153" i="11"/>
  <c r="F153" i="11"/>
  <c r="B151" i="5"/>
  <c r="F151" i="5"/>
  <c r="I142" i="43"/>
  <c r="H142" i="43"/>
  <c r="B154" i="10"/>
  <c r="F154" i="10"/>
  <c r="G154" i="10" s="1"/>
  <c r="B151" i="3"/>
  <c r="F151" i="3"/>
  <c r="B152" i="8"/>
  <c r="F152" i="8"/>
  <c r="B147" i="27"/>
  <c r="F147" i="27"/>
  <c r="B151" i="4"/>
  <c r="F151" i="4"/>
  <c r="H146" i="27"/>
  <c r="I146" i="27"/>
  <c r="I142" i="39"/>
  <c r="H142" i="39"/>
  <c r="E148" i="24"/>
  <c r="F148" i="24" s="1"/>
  <c r="H151" i="6"/>
  <c r="I151" i="6"/>
  <c r="H145" i="31"/>
  <c r="I145" i="31"/>
  <c r="E150" i="22"/>
  <c r="F150" i="22" s="1"/>
  <c r="B146" i="28"/>
  <c r="F146" i="28"/>
  <c r="H150" i="4"/>
  <c r="I150" i="4"/>
  <c r="I152" i="11"/>
  <c r="H152" i="11"/>
  <c r="H150" i="5"/>
  <c r="I150" i="5"/>
  <c r="E150" i="25"/>
  <c r="F150" i="25" s="1"/>
  <c r="B142" i="40"/>
  <c r="F142" i="40"/>
  <c r="H153" i="10"/>
  <c r="I153" i="10"/>
  <c r="E149" i="23"/>
  <c r="F149" i="23" s="1"/>
  <c r="B154" i="7"/>
  <c r="F154" i="7"/>
  <c r="G154" i="7" s="1"/>
  <c r="H151" i="8"/>
  <c r="I151" i="8"/>
  <c r="E149" i="41" l="1"/>
  <c r="F149" i="41" s="1"/>
  <c r="G149" i="41" s="1"/>
  <c r="H149" i="38"/>
  <c r="I149" i="38"/>
  <c r="D150" i="41"/>
  <c r="B150" i="41" s="1"/>
  <c r="G148" i="42"/>
  <c r="D149" i="42"/>
  <c r="E150" i="38"/>
  <c r="F150" i="38" s="1"/>
  <c r="B150" i="38"/>
  <c r="H148" i="41"/>
  <c r="I148" i="41"/>
  <c r="J151" i="6"/>
  <c r="J145" i="28"/>
  <c r="J153" i="10"/>
  <c r="J145" i="31"/>
  <c r="J153" i="7"/>
  <c r="G150" i="25"/>
  <c r="D151" i="25"/>
  <c r="E151" i="25" s="1"/>
  <c r="G149" i="23"/>
  <c r="D150" i="23"/>
  <c r="E150" i="23" s="1"/>
  <c r="G150" i="22"/>
  <c r="D151" i="22"/>
  <c r="E151" i="22" s="1"/>
  <c r="G148" i="24"/>
  <c r="D149" i="24"/>
  <c r="E149" i="24" s="1"/>
  <c r="J151" i="8"/>
  <c r="G146" i="28"/>
  <c r="D147" i="28"/>
  <c r="E147" i="28" s="1"/>
  <c r="G151" i="4"/>
  <c r="D152" i="4"/>
  <c r="E152" i="4" s="1"/>
  <c r="G152" i="8"/>
  <c r="D153" i="8"/>
  <c r="E153" i="8" s="1"/>
  <c r="H154" i="10"/>
  <c r="H155" i="10" s="1"/>
  <c r="I154" i="10"/>
  <c r="G151" i="5"/>
  <c r="D152" i="5"/>
  <c r="E152" i="5" s="1"/>
  <c r="J145" i="29"/>
  <c r="J144" i="30"/>
  <c r="G143" i="43"/>
  <c r="D144" i="43"/>
  <c r="E144" i="43" s="1"/>
  <c r="G146" i="29"/>
  <c r="D147" i="29"/>
  <c r="E147" i="29" s="1"/>
  <c r="G143" i="37"/>
  <c r="D144" i="37"/>
  <c r="E144" i="37" s="1"/>
  <c r="D154" i="9"/>
  <c r="G153" i="9"/>
  <c r="G145" i="30"/>
  <c r="D146" i="30"/>
  <c r="E146" i="30" s="1"/>
  <c r="D153" i="6"/>
  <c r="E153" i="6" s="1"/>
  <c r="G152" i="6"/>
  <c r="I154" i="7"/>
  <c r="H154" i="7"/>
  <c r="H155" i="7" s="1"/>
  <c r="J150" i="5"/>
  <c r="J150" i="4"/>
  <c r="J146" i="27"/>
  <c r="G147" i="27"/>
  <c r="D148" i="27"/>
  <c r="E148" i="27" s="1"/>
  <c r="G151" i="3"/>
  <c r="D152" i="3"/>
  <c r="E152" i="3"/>
  <c r="D154" i="11"/>
  <c r="E154" i="11" s="1"/>
  <c r="E155" i="11" s="1"/>
  <c r="G153" i="11"/>
  <c r="G146" i="31"/>
  <c r="D147" i="31"/>
  <c r="E147" i="31" s="1"/>
  <c r="G143" i="39"/>
  <c r="D144" i="39"/>
  <c r="E144" i="39" s="1"/>
  <c r="J150" i="3"/>
  <c r="G142" i="40"/>
  <c r="D143" i="40"/>
  <c r="E143" i="40" s="1"/>
  <c r="D151" i="38" l="1"/>
  <c r="G150" i="38"/>
  <c r="E149" i="42"/>
  <c r="F149" i="42" s="1"/>
  <c r="B149" i="42"/>
  <c r="H149" i="41"/>
  <c r="I149" i="41"/>
  <c r="I148" i="42"/>
  <c r="H148" i="42"/>
  <c r="E150" i="41"/>
  <c r="F150" i="41" s="1"/>
  <c r="B143" i="40"/>
  <c r="F143" i="40"/>
  <c r="H142" i="40"/>
  <c r="I142" i="40"/>
  <c r="I153" i="11"/>
  <c r="H153" i="11"/>
  <c r="H151" i="3"/>
  <c r="I151" i="3"/>
  <c r="J154" i="7"/>
  <c r="J155" i="7" s="1"/>
  <c r="I155" i="7"/>
  <c r="I153" i="9"/>
  <c r="H153" i="9"/>
  <c r="H143" i="37"/>
  <c r="I143" i="37"/>
  <c r="J154" i="10"/>
  <c r="J155" i="10" s="1"/>
  <c r="I155" i="10"/>
  <c r="H152" i="8"/>
  <c r="I152" i="8"/>
  <c r="B151" i="22"/>
  <c r="F151" i="22"/>
  <c r="H149" i="23"/>
  <c r="I149" i="23"/>
  <c r="B146" i="30"/>
  <c r="F146" i="30"/>
  <c r="B154" i="9"/>
  <c r="B144" i="43"/>
  <c r="F144" i="43"/>
  <c r="B147" i="28"/>
  <c r="F147" i="28"/>
  <c r="B149" i="24"/>
  <c r="F149" i="24"/>
  <c r="I150" i="22"/>
  <c r="H150" i="22"/>
  <c r="B154" i="11"/>
  <c r="F154" i="11"/>
  <c r="G154" i="11" s="1"/>
  <c r="B148" i="27"/>
  <c r="F148" i="27"/>
  <c r="I152" i="6"/>
  <c r="H152" i="6"/>
  <c r="I145" i="30"/>
  <c r="H145" i="30"/>
  <c r="B147" i="29"/>
  <c r="F147" i="29"/>
  <c r="I143" i="43"/>
  <c r="H143" i="43"/>
  <c r="B152" i="5"/>
  <c r="F152" i="5"/>
  <c r="B152" i="4"/>
  <c r="F152" i="4"/>
  <c r="I146" i="28"/>
  <c r="H146" i="28"/>
  <c r="H148" i="24"/>
  <c r="I148" i="24"/>
  <c r="B151" i="25"/>
  <c r="F151" i="25"/>
  <c r="B147" i="31"/>
  <c r="F147" i="31"/>
  <c r="B144" i="39"/>
  <c r="F144" i="39"/>
  <c r="H146" i="31"/>
  <c r="I146" i="31"/>
  <c r="H143" i="39"/>
  <c r="I143" i="39"/>
  <c r="B152" i="3"/>
  <c r="F152" i="3"/>
  <c r="H147" i="27"/>
  <c r="I147" i="27"/>
  <c r="B153" i="6"/>
  <c r="F153" i="6"/>
  <c r="E154" i="9"/>
  <c r="E155" i="9" s="1"/>
  <c r="B144" i="37"/>
  <c r="F144" i="37"/>
  <c r="H146" i="29"/>
  <c r="I146" i="29"/>
  <c r="H151" i="5"/>
  <c r="I151" i="5"/>
  <c r="B153" i="8"/>
  <c r="F153" i="8"/>
  <c r="H151" i="4"/>
  <c r="I151" i="4"/>
  <c r="B150" i="23"/>
  <c r="F150" i="23"/>
  <c r="H150" i="25"/>
  <c r="I150" i="25"/>
  <c r="D151" i="41" l="1"/>
  <c r="G150" i="41"/>
  <c r="H150" i="38"/>
  <c r="I150" i="38"/>
  <c r="G149" i="42"/>
  <c r="D150" i="42"/>
  <c r="B150" i="42" s="1"/>
  <c r="E151" i="38"/>
  <c r="F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J147" i="27"/>
  <c r="G144" i="39"/>
  <c r="D145" i="39"/>
  <c r="E145" i="39" s="1"/>
  <c r="G151" i="25"/>
  <c r="D152" i="25"/>
  <c r="E152" i="25" s="1"/>
  <c r="G152" i="5"/>
  <c r="D153" i="5"/>
  <c r="E153" i="5" s="1"/>
  <c r="G147" i="29"/>
  <c r="D148" i="29"/>
  <c r="E148" i="29" s="1"/>
  <c r="H154" i="11"/>
  <c r="H155" i="11" s="1"/>
  <c r="I154" i="11"/>
  <c r="I155" i="11" s="1"/>
  <c r="G149" i="24"/>
  <c r="D150" i="24"/>
  <c r="E150" i="24" s="1"/>
  <c r="G144" i="43"/>
  <c r="D145" i="43"/>
  <c r="E145" i="43" s="1"/>
  <c r="G146" i="30"/>
  <c r="D147" i="30"/>
  <c r="E147" i="30" s="1"/>
  <c r="G151" i="22"/>
  <c r="D152" i="22"/>
  <c r="E152" i="22" s="1"/>
  <c r="D154" i="6"/>
  <c r="E154" i="6" s="1"/>
  <c r="E155" i="6" s="1"/>
  <c r="G153" i="6"/>
  <c r="G152" i="3"/>
  <c r="D153" i="3"/>
  <c r="E153" i="3" s="1"/>
  <c r="J146" i="31"/>
  <c r="G147" i="31"/>
  <c r="D148" i="31"/>
  <c r="E148" i="31" s="1"/>
  <c r="G152" i="4"/>
  <c r="D153" i="4"/>
  <c r="E153" i="4" s="1"/>
  <c r="G148" i="27"/>
  <c r="D149" i="27"/>
  <c r="E149" i="27" s="1"/>
  <c r="G147" i="28"/>
  <c r="D148" i="28"/>
  <c r="E148" i="28" s="1"/>
  <c r="F154" i="9"/>
  <c r="G154" i="9" s="1"/>
  <c r="G143" i="40"/>
  <c r="D144" i="40"/>
  <c r="E144" i="40" s="1"/>
  <c r="D151" i="23"/>
  <c r="E151" i="23" s="1"/>
  <c r="G150" i="23"/>
  <c r="G144" i="37"/>
  <c r="D145" i="37"/>
  <c r="E145" i="37" s="1"/>
  <c r="E150" i="42" l="1"/>
  <c r="F150" i="42" s="1"/>
  <c r="D151" i="42" s="1"/>
  <c r="D152" i="38"/>
  <c r="G151" i="38"/>
  <c r="G150" i="42"/>
  <c r="I150" i="41"/>
  <c r="H150" i="41"/>
  <c r="I149" i="42"/>
  <c r="H149" i="42"/>
  <c r="E151" i="41"/>
  <c r="F151" i="41" s="1"/>
  <c r="B151" i="41"/>
  <c r="B144" i="40"/>
  <c r="F144" i="40"/>
  <c r="B148" i="28"/>
  <c r="F148" i="28"/>
  <c r="H148" i="27"/>
  <c r="I148" i="27"/>
  <c r="H153" i="6"/>
  <c r="I153" i="6"/>
  <c r="H151" i="22"/>
  <c r="I151" i="22"/>
  <c r="B150" i="24"/>
  <c r="F150" i="24"/>
  <c r="B153" i="5"/>
  <c r="F153" i="5"/>
  <c r="I151" i="25"/>
  <c r="H151" i="25"/>
  <c r="H150" i="23"/>
  <c r="I150" i="23"/>
  <c r="I143" i="40"/>
  <c r="H143" i="40"/>
  <c r="I147" i="28"/>
  <c r="H147" i="28"/>
  <c r="B148" i="31"/>
  <c r="F148" i="31"/>
  <c r="B153" i="3"/>
  <c r="F153" i="3"/>
  <c r="B154" i="6"/>
  <c r="F154" i="6"/>
  <c r="G154" i="6" s="1"/>
  <c r="B145" i="43"/>
  <c r="F145" i="43"/>
  <c r="H149" i="24"/>
  <c r="I149" i="24"/>
  <c r="B148" i="29"/>
  <c r="F148" i="29"/>
  <c r="H152" i="5"/>
  <c r="I152" i="5"/>
  <c r="B151" i="23"/>
  <c r="F151" i="23"/>
  <c r="H154" i="9"/>
  <c r="H155" i="9" s="1"/>
  <c r="I154" i="9"/>
  <c r="I155" i="9" s="1"/>
  <c r="B153" i="4"/>
  <c r="F153" i="4"/>
  <c r="H147" i="31"/>
  <c r="I147" i="31"/>
  <c r="H152" i="3"/>
  <c r="I152" i="3"/>
  <c r="B147" i="30"/>
  <c r="F147" i="30"/>
  <c r="H144" i="43"/>
  <c r="I144" i="43"/>
  <c r="H147" i="29"/>
  <c r="I147" i="29"/>
  <c r="B145" i="39"/>
  <c r="F145" i="39"/>
  <c r="H153" i="8"/>
  <c r="I153" i="8"/>
  <c r="B145" i="37"/>
  <c r="F145" i="37"/>
  <c r="H144" i="37"/>
  <c r="I144" i="37"/>
  <c r="B149" i="27"/>
  <c r="F149" i="27"/>
  <c r="H152" i="4"/>
  <c r="I152" i="4"/>
  <c r="B152" i="22"/>
  <c r="F152" i="22"/>
  <c r="H146" i="30"/>
  <c r="I146" i="30"/>
  <c r="B152" i="25"/>
  <c r="F152" i="25"/>
  <c r="H144" i="39"/>
  <c r="I144" i="39"/>
  <c r="B154" i="8"/>
  <c r="F154" i="8"/>
  <c r="G154" i="8" s="1"/>
  <c r="H150" i="42" l="1"/>
  <c r="I150" i="42"/>
  <c r="D152" i="41"/>
  <c r="G151" i="41"/>
  <c r="E151" i="42"/>
  <c r="F151" i="42" s="1"/>
  <c r="B151" i="42"/>
  <c r="H151" i="38"/>
  <c r="I151" i="38"/>
  <c r="E152" i="38"/>
  <c r="B152" i="38"/>
  <c r="F152" i="38"/>
  <c r="J148" i="27"/>
  <c r="J146" i="30"/>
  <c r="J152" i="4"/>
  <c r="J153" i="8"/>
  <c r="J147" i="29"/>
  <c r="G147" i="30"/>
  <c r="D148" i="30"/>
  <c r="E148" i="30" s="1"/>
  <c r="J147" i="31"/>
  <c r="J152" i="5"/>
  <c r="H154" i="6"/>
  <c r="H155" i="6" s="1"/>
  <c r="I154" i="6"/>
  <c r="D149" i="31"/>
  <c r="E149" i="31" s="1"/>
  <c r="G148" i="31"/>
  <c r="G150" i="24"/>
  <c r="D151" i="24"/>
  <c r="E151" i="24" s="1"/>
  <c r="J153" i="6"/>
  <c r="G148" i="28"/>
  <c r="D149" i="28"/>
  <c r="E149" i="28" s="1"/>
  <c r="H154" i="8"/>
  <c r="H155" i="8" s="1"/>
  <c r="I154" i="8"/>
  <c r="G152" i="25"/>
  <c r="D153" i="25"/>
  <c r="E153" i="25" s="1"/>
  <c r="G152" i="22"/>
  <c r="D153" i="22"/>
  <c r="E153" i="22" s="1"/>
  <c r="D150" i="27"/>
  <c r="E150" i="27" s="1"/>
  <c r="G149" i="27"/>
  <c r="G145" i="37"/>
  <c r="D146" i="37"/>
  <c r="E146" i="37" s="1"/>
  <c r="G145" i="39"/>
  <c r="D146" i="39"/>
  <c r="E146" i="39" s="1"/>
  <c r="J152" i="3"/>
  <c r="G153" i="4"/>
  <c r="D154" i="4"/>
  <c r="E154" i="4" s="1"/>
  <c r="E155" i="4" s="1"/>
  <c r="G151" i="23"/>
  <c r="D152" i="23"/>
  <c r="E152" i="23" s="1"/>
  <c r="G148" i="29"/>
  <c r="D149" i="29"/>
  <c r="E149" i="29" s="1"/>
  <c r="G145" i="43"/>
  <c r="D146" i="43"/>
  <c r="E146" i="43" s="1"/>
  <c r="G153" i="3"/>
  <c r="D154" i="3"/>
  <c r="E154" i="3" s="1"/>
  <c r="E155" i="3" s="1"/>
  <c r="G153" i="5"/>
  <c r="D154" i="5"/>
  <c r="E154" i="5" s="1"/>
  <c r="E155" i="5" s="1"/>
  <c r="G144" i="40"/>
  <c r="D145" i="40"/>
  <c r="E145" i="40" s="1"/>
  <c r="J147" i="28"/>
  <c r="I151" i="41" l="1"/>
  <c r="H151" i="41"/>
  <c r="E152" i="41"/>
  <c r="F152" i="41" s="1"/>
  <c r="B152" i="41"/>
  <c r="G151" i="42"/>
  <c r="D152" i="42"/>
  <c r="D153" i="38"/>
  <c r="B153" i="38" s="1"/>
  <c r="G152" i="38"/>
  <c r="B154" i="3"/>
  <c r="F154" i="3"/>
  <c r="G154" i="3" s="1"/>
  <c r="I145" i="43"/>
  <c r="H145" i="43"/>
  <c r="B154" i="4"/>
  <c r="F154" i="4"/>
  <c r="G154" i="4" s="1"/>
  <c r="B146" i="39"/>
  <c r="F146" i="39"/>
  <c r="H145" i="37"/>
  <c r="I145" i="37"/>
  <c r="B153" i="25"/>
  <c r="F153" i="25"/>
  <c r="H148" i="31"/>
  <c r="I148" i="31"/>
  <c r="H147" i="30"/>
  <c r="I147" i="30"/>
  <c r="H153" i="3"/>
  <c r="I153" i="3"/>
  <c r="F152" i="23"/>
  <c r="B152" i="23"/>
  <c r="H153" i="4"/>
  <c r="I153" i="4"/>
  <c r="H145" i="39"/>
  <c r="I145" i="39"/>
  <c r="B153" i="22"/>
  <c r="F153" i="22"/>
  <c r="H152" i="25"/>
  <c r="I152" i="25"/>
  <c r="B149" i="28"/>
  <c r="F149" i="28"/>
  <c r="B151" i="24"/>
  <c r="F151" i="24"/>
  <c r="B149" i="31"/>
  <c r="F149" i="31"/>
  <c r="I144" i="40"/>
  <c r="H144" i="40"/>
  <c r="B154" i="5"/>
  <c r="F154" i="5"/>
  <c r="G154" i="5" s="1"/>
  <c r="B145" i="40"/>
  <c r="F145" i="40"/>
  <c r="H153" i="5"/>
  <c r="I153" i="5"/>
  <c r="B149" i="29"/>
  <c r="F149" i="29"/>
  <c r="H151" i="23"/>
  <c r="I151" i="23"/>
  <c r="H149" i="27"/>
  <c r="I149" i="27"/>
  <c r="I152" i="22"/>
  <c r="H152" i="22"/>
  <c r="J154" i="8"/>
  <c r="J155" i="8" s="1"/>
  <c r="I155" i="8"/>
  <c r="I148" i="28"/>
  <c r="H148" i="28"/>
  <c r="I150" i="24"/>
  <c r="H150" i="24"/>
  <c r="J154" i="6"/>
  <c r="J155" i="6" s="1"/>
  <c r="I155" i="6"/>
  <c r="B146" i="43"/>
  <c r="F146" i="43"/>
  <c r="H148" i="29"/>
  <c r="I148" i="29"/>
  <c r="B146" i="37"/>
  <c r="F146" i="37"/>
  <c r="B150" i="27"/>
  <c r="F150" i="27"/>
  <c r="B148" i="30"/>
  <c r="F148" i="30"/>
  <c r="G152" i="41" l="1"/>
  <c r="D153" i="41"/>
  <c r="E152" i="42"/>
  <c r="F152" i="42" s="1"/>
  <c r="B152" i="42"/>
  <c r="E153" i="38"/>
  <c r="F153" i="38" s="1"/>
  <c r="H151" i="42"/>
  <c r="I151" i="42"/>
  <c r="I152" i="38"/>
  <c r="H152" i="38"/>
  <c r="J153" i="4"/>
  <c r="J153" i="5"/>
  <c r="J153" i="3"/>
  <c r="J148" i="31"/>
  <c r="J148" i="29"/>
  <c r="D151" i="27"/>
  <c r="E151" i="27" s="1"/>
  <c r="G150" i="27"/>
  <c r="G148" i="30"/>
  <c r="D149" i="30"/>
  <c r="E149" i="30" s="1"/>
  <c r="G146" i="37"/>
  <c r="D147" i="37"/>
  <c r="E147" i="37" s="1"/>
  <c r="G146" i="43"/>
  <c r="D147" i="43"/>
  <c r="E147" i="43" s="1"/>
  <c r="J149" i="27"/>
  <c r="G149" i="29"/>
  <c r="D150" i="29"/>
  <c r="E150" i="29" s="1"/>
  <c r="G145" i="40"/>
  <c r="D146" i="40"/>
  <c r="E146" i="40" s="1"/>
  <c r="G151" i="24"/>
  <c r="D152" i="24"/>
  <c r="E152" i="24" s="1"/>
  <c r="J147" i="30"/>
  <c r="G153" i="25"/>
  <c r="D154" i="25"/>
  <c r="E154" i="25" s="1"/>
  <c r="E155" i="25" s="1"/>
  <c r="G146" i="39"/>
  <c r="D147" i="39"/>
  <c r="E147" i="39" s="1"/>
  <c r="D153" i="23"/>
  <c r="E153" i="23" s="1"/>
  <c r="G152" i="23"/>
  <c r="H154" i="5"/>
  <c r="H155" i="5" s="1"/>
  <c r="I154" i="5"/>
  <c r="G149" i="31"/>
  <c r="D150" i="31"/>
  <c r="E150" i="31" s="1"/>
  <c r="D150" i="28"/>
  <c r="E150" i="28" s="1"/>
  <c r="G149" i="28"/>
  <c r="G153" i="22"/>
  <c r="D154" i="22"/>
  <c r="E154" i="22" s="1"/>
  <c r="E155" i="22" s="1"/>
  <c r="H154" i="4"/>
  <c r="H155" i="4" s="1"/>
  <c r="I154" i="4"/>
  <c r="H154" i="3"/>
  <c r="H155" i="3" s="1"/>
  <c r="I154" i="3"/>
  <c r="J148" i="28"/>
  <c r="D153" i="42" l="1"/>
  <c r="G152" i="42"/>
  <c r="G153" i="38"/>
  <c r="D154" i="38"/>
  <c r="E153" i="41"/>
  <c r="F153" i="41" s="1"/>
  <c r="B153" i="41"/>
  <c r="H152" i="41"/>
  <c r="I152" i="41"/>
  <c r="B150" i="31"/>
  <c r="F150" i="31"/>
  <c r="F147" i="39"/>
  <c r="B147" i="39"/>
  <c r="I153" i="25"/>
  <c r="H153" i="25"/>
  <c r="I151" i="24"/>
  <c r="H151" i="24"/>
  <c r="B147" i="37"/>
  <c r="F147" i="37"/>
  <c r="I148" i="30"/>
  <c r="H148" i="30"/>
  <c r="I153" i="22"/>
  <c r="H153" i="22"/>
  <c r="J154" i="3"/>
  <c r="J155" i="3" s="1"/>
  <c r="I155" i="3"/>
  <c r="H149" i="28"/>
  <c r="I149" i="28"/>
  <c r="I149" i="31"/>
  <c r="H149" i="31"/>
  <c r="I152" i="23"/>
  <c r="H152" i="23"/>
  <c r="H146" i="39"/>
  <c r="I146" i="39"/>
  <c r="B150" i="29"/>
  <c r="F150" i="29"/>
  <c r="B147" i="43"/>
  <c r="F147" i="43"/>
  <c r="I146" i="37"/>
  <c r="H146" i="37"/>
  <c r="B154" i="22"/>
  <c r="F154" i="22"/>
  <c r="G154" i="22" s="1"/>
  <c r="B150" i="28"/>
  <c r="F150" i="28"/>
  <c r="J154" i="5"/>
  <c r="J155" i="5" s="1"/>
  <c r="I155" i="5"/>
  <c r="B153" i="23"/>
  <c r="F153" i="23"/>
  <c r="B146" i="40"/>
  <c r="F146" i="40"/>
  <c r="H149" i="29"/>
  <c r="I149" i="29"/>
  <c r="H146" i="43"/>
  <c r="I146" i="43"/>
  <c r="H150" i="27"/>
  <c r="I150" i="27"/>
  <c r="J154" i="4"/>
  <c r="J155" i="4" s="1"/>
  <c r="I155" i="4"/>
  <c r="B154" i="25"/>
  <c r="F154" i="25"/>
  <c r="G154" i="25" s="1"/>
  <c r="B152" i="24"/>
  <c r="F152" i="24"/>
  <c r="I145" i="40"/>
  <c r="H145" i="40"/>
  <c r="B149" i="30"/>
  <c r="F149" i="30"/>
  <c r="B151" i="27"/>
  <c r="F151" i="27"/>
  <c r="E154" i="38" l="1"/>
  <c r="E155" i="38" s="1"/>
  <c r="B154" i="38"/>
  <c r="I153" i="38"/>
  <c r="H153" i="38"/>
  <c r="D154" i="41"/>
  <c r="E154" i="41" s="1"/>
  <c r="E155" i="41" s="1"/>
  <c r="G153" i="41"/>
  <c r="I152" i="42"/>
  <c r="H152" i="42"/>
  <c r="E153" i="42"/>
  <c r="F153" i="42" s="1"/>
  <c r="B153" i="42"/>
  <c r="J149" i="28"/>
  <c r="J149" i="31"/>
  <c r="G152" i="24"/>
  <c r="D153" i="24"/>
  <c r="E153" i="24" s="1"/>
  <c r="G146" i="40"/>
  <c r="D147" i="40"/>
  <c r="E147" i="40" s="1"/>
  <c r="H154" i="22"/>
  <c r="H155" i="22" s="1"/>
  <c r="I154" i="22"/>
  <c r="I155" i="22" s="1"/>
  <c r="G147" i="43"/>
  <c r="D148" i="43"/>
  <c r="E148" i="43" s="1"/>
  <c r="J148" i="30"/>
  <c r="G147" i="39"/>
  <c r="D148" i="39"/>
  <c r="E148" i="39" s="1"/>
  <c r="D152" i="27"/>
  <c r="E152" i="27" s="1"/>
  <c r="G151" i="27"/>
  <c r="I154" i="25"/>
  <c r="I155" i="25" s="1"/>
  <c r="H154" i="25"/>
  <c r="H155" i="25" s="1"/>
  <c r="J150" i="27"/>
  <c r="J149" i="29"/>
  <c r="G153" i="23"/>
  <c r="D154" i="23"/>
  <c r="G150" i="28"/>
  <c r="D151" i="28"/>
  <c r="E151" i="28" s="1"/>
  <c r="G150" i="29"/>
  <c r="D151" i="29"/>
  <c r="E151" i="29" s="1"/>
  <c r="G147" i="37"/>
  <c r="D148" i="37"/>
  <c r="E148" i="37" s="1"/>
  <c r="G150" i="31"/>
  <c r="D151" i="31"/>
  <c r="G149" i="30"/>
  <c r="D150" i="30"/>
  <c r="E150" i="30" s="1"/>
  <c r="F154" i="38" l="1"/>
  <c r="G154" i="38" s="1"/>
  <c r="B154" i="41"/>
  <c r="F154" i="41"/>
  <c r="G154" i="41" s="1"/>
  <c r="H154" i="38"/>
  <c r="H155" i="38" s="1"/>
  <c r="I154" i="38"/>
  <c r="I155" i="38" s="1"/>
  <c r="D154" i="42"/>
  <c r="G153" i="42"/>
  <c r="H153" i="41"/>
  <c r="I153" i="41"/>
  <c r="I147" i="37"/>
  <c r="H147" i="37"/>
  <c r="B154" i="23"/>
  <c r="B152" i="27"/>
  <c r="F152" i="27"/>
  <c r="I146" i="40"/>
  <c r="H146" i="40"/>
  <c r="H150" i="31"/>
  <c r="I150" i="31"/>
  <c r="B151" i="28"/>
  <c r="F151" i="28"/>
  <c r="H153" i="23"/>
  <c r="I153" i="23"/>
  <c r="B150" i="30"/>
  <c r="F150" i="30"/>
  <c r="H149" i="30"/>
  <c r="I149" i="30"/>
  <c r="H150" i="28"/>
  <c r="I150" i="28"/>
  <c r="B148" i="39"/>
  <c r="F148" i="39"/>
  <c r="B148" i="43"/>
  <c r="F148" i="43"/>
  <c r="B153" i="24"/>
  <c r="F153" i="24"/>
  <c r="B151" i="31"/>
  <c r="B151" i="29"/>
  <c r="F151" i="29"/>
  <c r="E151" i="31"/>
  <c r="F151" i="31" s="1"/>
  <c r="B148" i="37"/>
  <c r="F148" i="37"/>
  <c r="I150" i="29"/>
  <c r="H150" i="29"/>
  <c r="E154" i="23"/>
  <c r="E155" i="23" s="1"/>
  <c r="H151" i="27"/>
  <c r="I151" i="27"/>
  <c r="I147" i="39"/>
  <c r="H147" i="39"/>
  <c r="H147" i="43"/>
  <c r="I147" i="43"/>
  <c r="B147" i="40"/>
  <c r="F147" i="40"/>
  <c r="I152" i="24"/>
  <c r="H152" i="24"/>
  <c r="I153" i="42" l="1"/>
  <c r="H153" i="42"/>
  <c r="H154" i="41"/>
  <c r="H155" i="41" s="1"/>
  <c r="I154" i="41"/>
  <c r="I155" i="41" s="1"/>
  <c r="E154" i="42"/>
  <c r="E155" i="42" s="1"/>
  <c r="B154" i="42"/>
  <c r="J151" i="27"/>
  <c r="J149" i="30"/>
  <c r="J150" i="31"/>
  <c r="G151" i="31"/>
  <c r="D152" i="31"/>
  <c r="E152" i="31" s="1"/>
  <c r="G148" i="43"/>
  <c r="D149" i="43"/>
  <c r="E149" i="43" s="1"/>
  <c r="J150" i="28"/>
  <c r="G150" i="30"/>
  <c r="D151" i="30"/>
  <c r="E151" i="30" s="1"/>
  <c r="G151" i="28"/>
  <c r="D152" i="28"/>
  <c r="E152" i="28" s="1"/>
  <c r="F154" i="23"/>
  <c r="G154" i="23" s="1"/>
  <c r="G147" i="40"/>
  <c r="D148" i="40"/>
  <c r="E148" i="40" s="1"/>
  <c r="J150" i="29"/>
  <c r="G151" i="29"/>
  <c r="D152" i="29"/>
  <c r="E152" i="29" s="1"/>
  <c r="G153" i="24"/>
  <c r="D154" i="24"/>
  <c r="E154" i="24" s="1"/>
  <c r="E155" i="24" s="1"/>
  <c r="G148" i="39"/>
  <c r="D149" i="39"/>
  <c r="E149" i="39" s="1"/>
  <c r="G152" i="27"/>
  <c r="D153" i="27"/>
  <c r="G148" i="37"/>
  <c r="D149" i="37"/>
  <c r="E149" i="37" s="1"/>
  <c r="F154" i="42" l="1"/>
  <c r="G154" i="42" s="1"/>
  <c r="I154" i="42"/>
  <c r="I155" i="42" s="1"/>
  <c r="H154" i="42"/>
  <c r="H155" i="42" s="1"/>
  <c r="B153" i="27"/>
  <c r="H148" i="39"/>
  <c r="I148" i="39"/>
  <c r="I152" i="27"/>
  <c r="H152" i="27"/>
  <c r="F152" i="29"/>
  <c r="B152" i="29"/>
  <c r="B148" i="40"/>
  <c r="F148" i="40"/>
  <c r="B152" i="28"/>
  <c r="F152" i="28"/>
  <c r="H150" i="30"/>
  <c r="I150" i="30"/>
  <c r="H148" i="43"/>
  <c r="I148" i="43"/>
  <c r="E153" i="27"/>
  <c r="F153" i="27" s="1"/>
  <c r="B149" i="37"/>
  <c r="F149" i="37"/>
  <c r="H148" i="37"/>
  <c r="I148" i="37"/>
  <c r="B154" i="24"/>
  <c r="F154" i="24"/>
  <c r="G154" i="24" s="1"/>
  <c r="H151" i="29"/>
  <c r="I151" i="29"/>
  <c r="I147" i="40"/>
  <c r="H147" i="40"/>
  <c r="I151" i="28"/>
  <c r="H151" i="28"/>
  <c r="F149" i="39"/>
  <c r="B149" i="39"/>
  <c r="H153" i="24"/>
  <c r="I153" i="24"/>
  <c r="I154" i="23"/>
  <c r="I155" i="23" s="1"/>
  <c r="H154" i="23"/>
  <c r="H155" i="23" s="1"/>
  <c r="F152" i="31"/>
  <c r="B152" i="31"/>
  <c r="B151" i="30"/>
  <c r="F151" i="30"/>
  <c r="B149" i="43"/>
  <c r="F149" i="43"/>
  <c r="H151" i="31"/>
  <c r="I151" i="31"/>
  <c r="J151" i="29" l="1"/>
  <c r="J151" i="31"/>
  <c r="J150" i="30"/>
  <c r="G153" i="27"/>
  <c r="D154" i="27"/>
  <c r="E154" i="27" s="1"/>
  <c r="E155" i="27" s="1"/>
  <c r="G152" i="31"/>
  <c r="D153" i="31"/>
  <c r="E153" i="31" s="1"/>
  <c r="J151" i="28"/>
  <c r="G152" i="28"/>
  <c r="D153" i="28"/>
  <c r="E153" i="28" s="1"/>
  <c r="G151" i="30"/>
  <c r="D152" i="30"/>
  <c r="E152" i="30" s="1"/>
  <c r="I154" i="24"/>
  <c r="I155" i="24" s="1"/>
  <c r="H154" i="24"/>
  <c r="H155" i="24" s="1"/>
  <c r="G149" i="37"/>
  <c r="D150" i="37"/>
  <c r="E150" i="37" s="1"/>
  <c r="G152" i="29"/>
  <c r="D153" i="29"/>
  <c r="E153" i="29" s="1"/>
  <c r="G149" i="39"/>
  <c r="D150" i="39"/>
  <c r="E150" i="39" s="1"/>
  <c r="G148" i="40"/>
  <c r="D149" i="40"/>
  <c r="E149" i="40" s="1"/>
  <c r="G149" i="43"/>
  <c r="D150" i="43"/>
  <c r="E150" i="43" s="1"/>
  <c r="J152" i="27"/>
  <c r="H149" i="43" l="1"/>
  <c r="I149" i="43"/>
  <c r="B153" i="29"/>
  <c r="F153" i="29"/>
  <c r="I149" i="37"/>
  <c r="H149" i="37"/>
  <c r="B152" i="30"/>
  <c r="F152" i="30"/>
  <c r="H152" i="28"/>
  <c r="I152" i="28"/>
  <c r="H152" i="31"/>
  <c r="I152" i="31"/>
  <c r="B150" i="39"/>
  <c r="F150" i="39"/>
  <c r="H152" i="29"/>
  <c r="I152" i="29"/>
  <c r="H151" i="30"/>
  <c r="I151" i="30"/>
  <c r="B149" i="40"/>
  <c r="F149" i="40"/>
  <c r="H149" i="39"/>
  <c r="I149" i="39"/>
  <c r="B154" i="27"/>
  <c r="F154" i="27"/>
  <c r="G154" i="27" s="1"/>
  <c r="B150" i="43"/>
  <c r="F150" i="43"/>
  <c r="H148" i="40"/>
  <c r="I148" i="40"/>
  <c r="B150" i="37"/>
  <c r="F150" i="37"/>
  <c r="B153" i="28"/>
  <c r="F153" i="28"/>
  <c r="B153" i="31"/>
  <c r="F153" i="31"/>
  <c r="I153" i="27"/>
  <c r="H153" i="27"/>
  <c r="J152" i="28" l="1"/>
  <c r="J151" i="30"/>
  <c r="J153" i="27"/>
  <c r="G153" i="28"/>
  <c r="D154" i="28"/>
  <c r="E154" i="28" s="1"/>
  <c r="E155" i="28" s="1"/>
  <c r="H154" i="27"/>
  <c r="H155" i="27" s="1"/>
  <c r="I154" i="27"/>
  <c r="D150" i="40"/>
  <c r="E150" i="40" s="1"/>
  <c r="G149" i="40"/>
  <c r="J152" i="29"/>
  <c r="J152" i="31"/>
  <c r="G152" i="30"/>
  <c r="D153" i="30"/>
  <c r="G153" i="29"/>
  <c r="D154" i="29"/>
  <c r="E154" i="29" s="1"/>
  <c r="E155" i="29" s="1"/>
  <c r="G153" i="31"/>
  <c r="D154" i="31"/>
  <c r="E154" i="31" s="1"/>
  <c r="E155" i="31" s="1"/>
  <c r="G150" i="37"/>
  <c r="D151" i="37"/>
  <c r="E151" i="37" s="1"/>
  <c r="G150" i="43"/>
  <c r="D151" i="43"/>
  <c r="G150" i="39"/>
  <c r="D151" i="39"/>
  <c r="E151" i="39" s="1"/>
  <c r="B153" i="30" l="1"/>
  <c r="B151" i="39"/>
  <c r="F151" i="39"/>
  <c r="H150" i="43"/>
  <c r="I150" i="43"/>
  <c r="B154" i="29"/>
  <c r="F154" i="29"/>
  <c r="G154" i="29" s="1"/>
  <c r="I152" i="30"/>
  <c r="H152" i="30"/>
  <c r="H149" i="40"/>
  <c r="I149" i="40"/>
  <c r="B151" i="43"/>
  <c r="H150" i="37"/>
  <c r="I150" i="37"/>
  <c r="H150" i="39"/>
  <c r="I150" i="39"/>
  <c r="H153" i="29"/>
  <c r="I153" i="29"/>
  <c r="B150" i="40"/>
  <c r="F150" i="40"/>
  <c r="F154" i="28"/>
  <c r="G154" i="28" s="1"/>
  <c r="B154" i="28"/>
  <c r="B154" i="31"/>
  <c r="F154" i="31"/>
  <c r="G154" i="31" s="1"/>
  <c r="E151" i="43"/>
  <c r="F151" i="43" s="1"/>
  <c r="B151" i="37"/>
  <c r="F151" i="37"/>
  <c r="H153" i="31"/>
  <c r="I153" i="31"/>
  <c r="E153" i="30"/>
  <c r="F153" i="30" s="1"/>
  <c r="J154" i="27"/>
  <c r="J155" i="27" s="1"/>
  <c r="I155" i="27"/>
  <c r="H153" i="28"/>
  <c r="I153" i="28"/>
  <c r="J153" i="31" l="1"/>
  <c r="G153" i="30"/>
  <c r="D154" i="30"/>
  <c r="E154" i="30" s="1"/>
  <c r="E155" i="30" s="1"/>
  <c r="G151" i="43"/>
  <c r="D152" i="43"/>
  <c r="E152" i="43" s="1"/>
  <c r="J153" i="28"/>
  <c r="J153" i="29"/>
  <c r="H154" i="29"/>
  <c r="H155" i="29" s="1"/>
  <c r="I154" i="29"/>
  <c r="G151" i="39"/>
  <c r="D152" i="39"/>
  <c r="H154" i="28"/>
  <c r="H155" i="28" s="1"/>
  <c r="I154" i="28"/>
  <c r="H154" i="31"/>
  <c r="H155" i="31" s="1"/>
  <c r="I154" i="31"/>
  <c r="G150" i="40"/>
  <c r="D151" i="40"/>
  <c r="E151" i="40" s="1"/>
  <c r="G151" i="37"/>
  <c r="D152" i="37"/>
  <c r="E152" i="37" s="1"/>
  <c r="J152" i="30"/>
  <c r="B152" i="39" l="1"/>
  <c r="H151" i="43"/>
  <c r="I151" i="43"/>
  <c r="B151" i="40"/>
  <c r="F151" i="40"/>
  <c r="I151" i="39"/>
  <c r="H151" i="39"/>
  <c r="J154" i="29"/>
  <c r="J155" i="29" s="1"/>
  <c r="I155" i="29"/>
  <c r="B154" i="30"/>
  <c r="F154" i="30"/>
  <c r="G154" i="30" s="1"/>
  <c r="J154" i="28"/>
  <c r="J155" i="28" s="1"/>
  <c r="I155" i="28"/>
  <c r="B152" i="37"/>
  <c r="F152" i="37"/>
  <c r="I150" i="40"/>
  <c r="H150" i="40"/>
  <c r="H151" i="37"/>
  <c r="I151" i="37"/>
  <c r="J154" i="31"/>
  <c r="J155" i="31" s="1"/>
  <c r="I155" i="31"/>
  <c r="E152" i="39"/>
  <c r="F152" i="39" s="1"/>
  <c r="B152" i="43"/>
  <c r="F152" i="43"/>
  <c r="H153" i="30"/>
  <c r="I153" i="30"/>
  <c r="G152" i="37" l="1"/>
  <c r="D153" i="37"/>
  <c r="E153" i="37" s="1"/>
  <c r="H154" i="30"/>
  <c r="H155" i="30" s="1"/>
  <c r="I154" i="30"/>
  <c r="G152" i="43"/>
  <c r="D153" i="43"/>
  <c r="E153" i="43" s="1"/>
  <c r="J153" i="30"/>
  <c r="G151" i="40"/>
  <c r="D152" i="40"/>
  <c r="G152" i="39"/>
  <c r="D153" i="39"/>
  <c r="E153" i="39" s="1"/>
  <c r="B152" i="40" l="1"/>
  <c r="B153" i="43"/>
  <c r="F153" i="43"/>
  <c r="E152" i="40"/>
  <c r="F152" i="40" s="1"/>
  <c r="B153" i="37"/>
  <c r="F153" i="37"/>
  <c r="B153" i="39"/>
  <c r="F153" i="39"/>
  <c r="I151" i="40"/>
  <c r="H151" i="40"/>
  <c r="H152" i="43"/>
  <c r="I152" i="43"/>
  <c r="I152" i="39"/>
  <c r="H152" i="39"/>
  <c r="J154" i="30"/>
  <c r="J155" i="30" s="1"/>
  <c r="I155" i="30"/>
  <c r="I152" i="37"/>
  <c r="H152" i="37"/>
  <c r="D153" i="40" l="1"/>
  <c r="E153" i="40" s="1"/>
  <c r="G152" i="40"/>
  <c r="G153" i="43"/>
  <c r="D154" i="43"/>
  <c r="E154" i="43" s="1"/>
  <c r="E155" i="43" s="1"/>
  <c r="D154" i="37"/>
  <c r="E154" i="37" s="1"/>
  <c r="E155" i="37" s="1"/>
  <c r="G153" i="37"/>
  <c r="G153" i="39"/>
  <c r="D154" i="39"/>
  <c r="E154" i="39" s="1"/>
  <c r="E155" i="39" s="1"/>
  <c r="H153" i="37" l="1"/>
  <c r="I153" i="37"/>
  <c r="H153" i="43"/>
  <c r="I153" i="43"/>
  <c r="F154" i="37"/>
  <c r="G154" i="37" s="1"/>
  <c r="B154" i="37"/>
  <c r="B154" i="39"/>
  <c r="F154" i="39"/>
  <c r="G154" i="39" s="1"/>
  <c r="H153" i="39"/>
  <c r="I153" i="39"/>
  <c r="I152" i="40"/>
  <c r="H152" i="40"/>
  <c r="B154" i="43"/>
  <c r="F154" i="43"/>
  <c r="G154" i="43" s="1"/>
  <c r="F153" i="40"/>
  <c r="B153" i="40"/>
  <c r="H154" i="39" l="1"/>
  <c r="H155" i="39" s="1"/>
  <c r="I154" i="39"/>
  <c r="I155" i="39" s="1"/>
  <c r="G153" i="40"/>
  <c r="D154" i="40"/>
  <c r="I154" i="43"/>
  <c r="I155" i="43" s="1"/>
  <c r="H154" i="43"/>
  <c r="H155" i="43" s="1"/>
  <c r="H154" i="37"/>
  <c r="H155" i="37" s="1"/>
  <c r="I154" i="37"/>
  <c r="I155" i="37" s="1"/>
  <c r="B154" i="40" l="1"/>
  <c r="I153" i="40"/>
  <c r="H153" i="40"/>
  <c r="E154" i="40"/>
  <c r="E155" i="40" s="1"/>
  <c r="F154" i="40" l="1"/>
  <c r="G154" i="40" s="1"/>
  <c r="H154" i="40" s="1"/>
  <c r="H155" i="40" s="1"/>
  <c r="I154" i="40" l="1"/>
  <c r="I155" i="40" s="1"/>
  <c r="I44" i="17" l="1"/>
  <c r="I45" i="17" s="1"/>
  <c r="K23" i="17" l="1"/>
  <c r="L23" i="17" s="1"/>
  <c r="V23" i="17" s="1"/>
  <c r="K37" i="17"/>
  <c r="L37" i="17" s="1"/>
  <c r="V37" i="17" s="1"/>
  <c r="K18" i="17"/>
  <c r="L18" i="17" s="1"/>
  <c r="K38" i="17"/>
  <c r="L38" i="17" s="1"/>
  <c r="V38" i="17" s="1"/>
  <c r="K39" i="17"/>
  <c r="L39" i="17" s="1"/>
  <c r="V39" i="17" s="1"/>
  <c r="K41" i="17"/>
  <c r="L41" i="17" s="1"/>
  <c r="V41" i="17" s="1"/>
  <c r="K31" i="17"/>
  <c r="L31" i="17" s="1"/>
  <c r="V31" i="17" s="1"/>
  <c r="K36" i="17"/>
  <c r="L36" i="17" s="1"/>
  <c r="V36" i="17" s="1"/>
  <c r="K20" i="17"/>
  <c r="L20" i="17" s="1"/>
  <c r="V20" i="17" s="1"/>
  <c r="K24" i="17"/>
  <c r="L24" i="17" s="1"/>
  <c r="V24" i="17" s="1"/>
  <c r="K19" i="17"/>
  <c r="L19" i="17" s="1"/>
  <c r="V19" i="17" s="1"/>
  <c r="K32" i="17"/>
  <c r="L32" i="17" s="1"/>
  <c r="V32" i="17" s="1"/>
  <c r="K34" i="17"/>
  <c r="L34" i="17" s="1"/>
  <c r="V34" i="17" s="1"/>
  <c r="K30" i="17"/>
  <c r="L30" i="17" s="1"/>
  <c r="V30" i="17" s="1"/>
  <c r="K26" i="17"/>
  <c r="L26" i="17" s="1"/>
  <c r="V26" i="17" s="1"/>
  <c r="K22" i="17"/>
  <c r="L22" i="17" s="1"/>
  <c r="V22" i="17" s="1"/>
  <c r="K33" i="17"/>
  <c r="L33" i="17" s="1"/>
  <c r="V33" i="17" s="1"/>
  <c r="K29" i="17"/>
  <c r="L29" i="17" s="1"/>
  <c r="V29" i="17" s="1"/>
  <c r="K27" i="17"/>
  <c r="L27" i="17" s="1"/>
  <c r="V27" i="17" s="1"/>
  <c r="K42" i="17"/>
  <c r="L42" i="17" s="1"/>
  <c r="V42" i="17" s="1"/>
  <c r="K21" i="17"/>
  <c r="L21" i="17" s="1"/>
  <c r="V21" i="17" s="1"/>
  <c r="K28" i="17"/>
  <c r="L28" i="17" s="1"/>
  <c r="V28" i="17" s="1"/>
  <c r="K35" i="17"/>
  <c r="L35" i="17" s="1"/>
  <c r="V35" i="17" s="1"/>
  <c r="K25" i="17"/>
  <c r="L25" i="17" s="1"/>
  <c r="V25" i="17" s="1"/>
  <c r="K40" i="17"/>
  <c r="L40" i="17" s="1"/>
  <c r="V40" i="17" s="1"/>
  <c r="V18" i="17" l="1"/>
  <c r="V44" i="17" s="1"/>
  <c r="L44" i="17"/>
  <c r="K45" i="17"/>
  <c r="Q19" i="17" l="1"/>
  <c r="R19" i="17" s="1"/>
  <c r="T19" i="17" s="1"/>
  <c r="Q26" i="17"/>
  <c r="R26" i="17" s="1"/>
  <c r="T26" i="17" s="1"/>
  <c r="Q42" i="17"/>
  <c r="R42" i="17" s="1"/>
  <c r="T42" i="17" s="1"/>
  <c r="Q23" i="17"/>
  <c r="R23" i="17" s="1"/>
  <c r="T23" i="17" s="1"/>
  <c r="Q35" i="17"/>
  <c r="R35" i="17" s="1"/>
  <c r="T35" i="17" s="1"/>
  <c r="Q20" i="17"/>
  <c r="R20" i="17" s="1"/>
  <c r="T20" i="17" s="1"/>
  <c r="Q31" i="17"/>
  <c r="R31" i="17" s="1"/>
  <c r="T31" i="17" s="1"/>
  <c r="Q36" i="17"/>
  <c r="R36" i="17" s="1"/>
  <c r="T36" i="17" s="1"/>
  <c r="Q25" i="17"/>
  <c r="R25" i="17" s="1"/>
  <c r="T25" i="17" s="1"/>
  <c r="Q40" i="17"/>
  <c r="R40" i="17" s="1"/>
  <c r="T40" i="17" s="1"/>
  <c r="Q24" i="17"/>
  <c r="R24" i="17" s="1"/>
  <c r="T24" i="17" s="1"/>
  <c r="Q33" i="17"/>
  <c r="R33" i="17" s="1"/>
  <c r="T33" i="17" s="1"/>
  <c r="Q37" i="17"/>
  <c r="R37" i="17" s="1"/>
  <c r="T37" i="17" s="1"/>
  <c r="Q41" i="17"/>
  <c r="R41" i="17" s="1"/>
  <c r="T41" i="17" s="1"/>
  <c r="Q18" i="17"/>
  <c r="R18" i="17" s="1"/>
  <c r="Q34" i="17"/>
  <c r="R34" i="17" s="1"/>
  <c r="T34" i="17" s="1"/>
  <c r="Q28" i="17"/>
  <c r="R28" i="17" s="1"/>
  <c r="T28" i="17" s="1"/>
  <c r="Q38" i="17"/>
  <c r="R38" i="17" s="1"/>
  <c r="T38" i="17" s="1"/>
  <c r="Q21" i="17"/>
  <c r="R21" i="17" s="1"/>
  <c r="T21" i="17" s="1"/>
  <c r="Q39" i="17"/>
  <c r="R39" i="17" s="1"/>
  <c r="T39" i="17" s="1"/>
  <c r="Q30" i="17"/>
  <c r="R30" i="17" s="1"/>
  <c r="T30" i="17" s="1"/>
  <c r="Q27" i="17"/>
  <c r="R27" i="17" s="1"/>
  <c r="T27" i="17" s="1"/>
  <c r="Q29" i="17"/>
  <c r="R29" i="17" s="1"/>
  <c r="T29" i="17" s="1"/>
  <c r="Q22" i="17"/>
  <c r="R22" i="17" s="1"/>
  <c r="T22" i="17" s="1"/>
  <c r="Q32" i="17"/>
  <c r="R32" i="17" s="1"/>
  <c r="T32" i="17" s="1"/>
  <c r="T18" i="17" l="1"/>
  <c r="T44" i="17" s="1"/>
  <c r="R44" i="17"/>
  <c r="Q45" i="17"/>
</calcChain>
</file>

<file path=xl/comments1.xml><?xml version="1.0" encoding="utf-8"?>
<comments xmlns="http://schemas.openxmlformats.org/spreadsheetml/2006/main">
  <authors>
    <author>R.Pennybaker</author>
    <author>AEP</author>
    <author>rlp</author>
    <author>S177040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4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44" authorId="3" shapeId="0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<sst xmlns="http://schemas.openxmlformats.org/spreadsheetml/2006/main" count="3679" uniqueCount="345">
  <si>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</si>
  <si>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</si>
  <si>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</si>
  <si>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</si>
  <si>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</si>
  <si>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</si>
  <si>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</si>
  <si>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</si>
  <si>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</si>
  <si>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</si>
  <si>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</si>
  <si>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</si>
  <si>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</si>
  <si>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</si>
  <si>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</si>
  <si>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</si>
  <si>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</si>
  <si>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</si>
  <si>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</si>
  <si>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</si>
  <si>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</si>
  <si>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</si>
  <si>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</si>
  <si>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</si>
  <si>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</si>
  <si>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</si>
  <si>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</si>
  <si>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</si>
  <si>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</si>
  <si>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</si>
  <si>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</si>
  <si>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</si>
  <si>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</si>
  <si>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</si>
  <si>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</si>
  <si>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</si>
  <si>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</si>
  <si>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</si>
  <si>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</si>
  <si>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</si>
  <si>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</si>
  <si>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</si>
  <si>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</si>
  <si>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</si>
  <si>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</si>
  <si>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</si>
  <si>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</si>
  <si>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</si>
  <si>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</si>
  <si>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</si>
  <si>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</si>
  <si>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</si>
  <si>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</si>
  <si>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</si>
  <si>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</si>
  <si>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</si>
  <si>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</si>
  <si>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</si>
  <si>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</si>
  <si>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</si>
  <si>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</si>
  <si>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</si>
  <si>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</si>
  <si>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</si>
  <si>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</si>
  <si>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</si>
  <si>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</si>
  <si>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</si>
  <si>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</si>
  <si>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</si>
  <si>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</si>
  <si>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</si>
  <si>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</si>
  <si>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</si>
  <si>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</si>
  <si>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</si>
  <si>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</si>
  <si>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</si>
  <si>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</si>
  <si>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</si>
  <si>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</si>
  <si>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</si>
  <si>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</si>
  <si>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</si>
  <si>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</si>
  <si>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</si>
  <si>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</si>
  <si>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</si>
  <si>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</si>
  <si>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</si>
  <si>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</si>
  <si>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</si>
  <si>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</si>
  <si>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</si>
  <si>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</si>
  <si>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</si>
  <si>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</si>
  <si>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</si>
  <si>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</si>
  <si>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</si>
  <si>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</si>
  <si>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</si>
  <si>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</si>
  <si>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</si>
  <si>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</si>
  <si>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</si>
  <si>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</si>
  <si>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</si>
  <si>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</si>
  <si>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</si>
  <si>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</si>
  <si>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</si>
  <si>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</si>
  <si>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</si>
  <si>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</si>
  <si>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</si>
  <si>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</si>
  <si>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</si>
  <si>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</si>
  <si>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</si>
  <si>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</si>
  <si>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</si>
  <si>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</si>
  <si>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</si>
  <si>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</si>
  <si>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</si>
  <si>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</si>
  <si>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</si>
  <si>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</si>
  <si>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</si>
  <si>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</si>
  <si>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</si>
  <si>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</si>
  <si>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</si>
  <si>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</si>
  <si>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</si>
  <si>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</si>
  <si>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</si>
  <si>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</si>
  <si>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</si>
  <si>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</si>
  <si>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</si>
  <si>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</si>
  <si>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</si>
  <si>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</si>
  <si>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</si>
  <si>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</si>
  <si>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</si>
  <si>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</si>
  <si>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</si>
  <si>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</si>
  <si>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</si>
  <si>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</si>
  <si>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</si>
  <si>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</si>
  <si>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</si>
  <si>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</si>
  <si>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</si>
  <si>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</si>
  <si>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</si>
  <si>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</si>
  <si>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</si>
  <si>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</si>
  <si>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</si>
  <si>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</si>
  <si>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</si>
  <si>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</si>
  <si>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</si>
  <si>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</si>
  <si>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</si>
  <si>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</si>
  <si>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</si>
  <si>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</si>
  <si>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</si>
  <si>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</si>
  <si>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</si>
  <si>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</si>
  <si>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</si>
  <si>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</si>
  <si>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</si>
  <si>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</si>
  <si>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</si>
  <si>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</si>
  <si>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</si>
  <si>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</si>
  <si>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</si>
  <si>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</si>
  <si>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</si>
  <si>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</si>
  <si>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</si>
  <si>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</si>
  <si>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</si>
  <si>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</si>
  <si>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</si>
  <si>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</si>
  <si>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</si>
  <si>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</si>
  <si>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</si>
  <si>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</si>
  <si>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</si>
  <si>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</si>
  <si>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</si>
  <si>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</si>
  <si>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</si>
  <si>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</si>
  <si>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</si>
  <si>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</si>
  <si>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</si>
  <si>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</si>
  <si>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</si>
  <si>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</si>
  <si>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</si>
  <si>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</si>
  <si>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</si>
  <si>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</si>
  <si>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</si>
  <si>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</si>
  <si>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</si>
  <si>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</si>
  <si>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</si>
  <si>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</si>
  <si>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</si>
  <si>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</si>
  <si>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</si>
  <si>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</si>
  <si>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</si>
  <si>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</si>
  <si>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</si>
  <si>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</si>
  <si>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</si>
  <si>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</si>
  <si>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</si>
  <si>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</si>
  <si>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</si>
  <si>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</si>
  <si>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</si>
  <si>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</si>
  <si>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</si>
  <si>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</si>
  <si>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</si>
  <si>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</si>
  <si>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</si>
  <si>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</si>
  <si>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</si>
  <si>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</si>
  <si>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</si>
  <si>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</si>
  <si>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</si>
  <si>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</si>
  <si>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</si>
  <si>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</si>
  <si>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</si>
  <si>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</si>
  <si>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</si>
  <si>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</si>
  <si>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</si>
  <si>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</si>
  <si>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</si>
  <si>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</si>
  <si>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</si>
  <si>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</si>
  <si>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</si>
  <si>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</si>
  <si>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</si>
  <si>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</si>
  <si>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</si>
  <si>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</si>
  <si>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</si>
  <si>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</si>
  <si>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</si>
  <si>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</si>
  <si>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</si>
  <si>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</si>
  <si>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</si>
  <si>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</si>
  <si>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</si>
  <si>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</si>
  <si>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</si>
  <si>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</si>
  <si>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</si>
  <si>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</si>
  <si>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</si>
  <si>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</si>
  <si>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</si>
  <si>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</si>
  <si>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</si>
  <si>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</si>
  <si>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</si>
  <si>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</si>
  <si>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</si>
  <si>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 xml:space="preserve">   FCR less Depreciation  (Projected TCOS, ln 12)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</si>
  <si>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</si>
  <si>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</si>
  <si>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</si>
  <si>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</si>
  <si>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</si>
  <si>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</si>
  <si>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</si>
  <si>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</si>
  <si>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</si>
  <si>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</si>
  <si>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</si>
  <si>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</si>
  <si>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</si>
  <si>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</si>
  <si>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</si>
  <si>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</si>
  <si>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</si>
  <si>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</si>
  <si>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</si>
  <si>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</si>
  <si>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</si>
  <si>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Transmission Plant Average Balance for 2017 </t>
  </si>
  <si>
    <t xml:space="preserve">   ROE w/o incentives  (Projected TCOS, ln 148)</t>
  </si>
  <si>
    <t>Annual Depreciation Expense  (Historic TCOS, ln 244)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</si>
  <si>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</si>
  <si>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</si>
  <si>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</si>
  <si>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</si>
  <si>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</si>
  <si>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</si>
  <si>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</si>
  <si>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</si>
  <si>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</si>
  <si>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True-Up ARR CY 2018 From Worksheet G  (includes adjustment for SPP Collections)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</si>
  <si>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</si>
  <si>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</si>
  <si>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</si>
  <si>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</si>
  <si>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</si>
  <si>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</si>
  <si>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>21% &amp; 11.2 ROE</t>
  </si>
  <si>
    <t>35% &amp; 11.2 ROE</t>
  </si>
  <si>
    <t>E - F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</si>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</sst>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</numFmts>
  <fonts count="122">
    <font>
      <sz val="10"/>
      <name val="Arial"/>
    </font>
    <font>
      <sz val="10"/>
      <name val="Arial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49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70" fontId="1" fillId="0" borderId="0" xfId="117" applyNumberFormat="1"/>
    <xf numFmtId="0" fontId="7" fillId="0" borderId="0" xfId="549" applyNumberFormat="1" applyFont="1" applyBorder="1" applyAlignment="1" applyProtection="1">
      <protection locked="0"/>
    </xf>
    <xf numFmtId="3" fontId="7" fillId="0" borderId="0" xfId="549" applyNumberFormat="1" applyFont="1" applyAlignment="1" applyProtection="1">
      <protection locked="0"/>
    </xf>
    <xf numFmtId="10" fontId="7" fillId="0" borderId="0" xfId="549" applyNumberFormat="1" applyFont="1" applyAlignment="1" applyProtection="1">
      <protection locked="0"/>
    </xf>
    <xf numFmtId="166" fontId="7" fillId="0" borderId="0" xfId="549" applyNumberFormat="1" applyFont="1" applyAlignment="1" applyProtection="1">
      <protection locked="0"/>
    </xf>
    <xf numFmtId="43" fontId="7" fillId="0" borderId="0" xfId="117" applyFont="1" applyAlignment="1" applyProtection="1">
      <protection locked="0"/>
    </xf>
    <xf numFmtId="169" fontId="7" fillId="0" borderId="0" xfId="549" applyFont="1" applyAlignment="1" applyProtection="1">
      <protection locked="0"/>
    </xf>
    <xf numFmtId="169" fontId="7" fillId="0" borderId="0" xfId="549" applyFont="1" applyBorder="1" applyAlignment="1" applyProtection="1">
      <protection locked="0"/>
    </xf>
    <xf numFmtId="0" fontId="7" fillId="0" borderId="0" xfId="0" applyFont="1" applyFill="1"/>
    <xf numFmtId="0" fontId="7" fillId="26" borderId="0" xfId="117" applyNumberFormat="1" applyFont="1" applyFill="1" applyAlignment="1" applyProtection="1">
      <protection locked="0"/>
    </xf>
    <xf numFmtId="10" fontId="7" fillId="0" borderId="0" xfId="549" applyNumberFormat="1" applyFont="1" applyFill="1" applyAlignment="1" applyProtection="1">
      <alignment horizontal="right"/>
      <protection locked="0"/>
    </xf>
    <xf numFmtId="3" fontId="39" fillId="0" borderId="0" xfId="549" applyNumberFormat="1" applyFont="1" applyAlignment="1" applyProtection="1">
      <protection locked="0"/>
    </xf>
    <xf numFmtId="0" fontId="7" fillId="0" borderId="0" xfId="0" applyFont="1" applyFill="1" applyBorder="1"/>
    <xf numFmtId="3" fontId="48" fillId="0" borderId="0" xfId="549" applyNumberFormat="1" applyFont="1" applyAlignment="1" applyProtection="1">
      <alignment horizontal="center"/>
      <protection locked="0"/>
    </xf>
    <xf numFmtId="10" fontId="48" fillId="0" borderId="0" xfId="549" applyNumberFormat="1" applyFont="1" applyFill="1" applyAlignment="1" applyProtection="1">
      <alignment horizontal="center"/>
      <protection locked="0"/>
    </xf>
    <xf numFmtId="0" fontId="7" fillId="0" borderId="0" xfId="549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 horizontal="center"/>
    </xf>
    <xf numFmtId="166" fontId="7" fillId="0" borderId="0" xfId="549" applyNumberFormat="1" applyFont="1" applyAlignment="1" applyProtection="1">
      <alignment horizontal="center"/>
      <protection locked="0"/>
    </xf>
    <xf numFmtId="167" fontId="7" fillId="0" borderId="0" xfId="549" applyNumberFormat="1" applyFont="1" applyFill="1" applyAlignment="1" applyProtection="1">
      <protection locked="0"/>
    </xf>
    <xf numFmtId="165" fontId="7" fillId="0" borderId="0" xfId="549" applyNumberFormat="1" applyFont="1" applyAlignment="1" applyProtection="1">
      <alignment horizontal="center"/>
      <protection locked="0"/>
    </xf>
    <xf numFmtId="165" fontId="7" fillId="0" borderId="0" xfId="549" applyNumberFormat="1" applyFont="1" applyBorder="1" applyAlignment="1" applyProtection="1">
      <alignment horizontal="center"/>
      <protection locked="0"/>
    </xf>
    <xf numFmtId="169" fontId="7" fillId="0" borderId="13" xfId="549" applyFont="1" applyBorder="1" applyAlignment="1" applyProtection="1">
      <protection locked="0"/>
    </xf>
    <xf numFmtId="0" fontId="7" fillId="0" borderId="0" xfId="549" applyNumberFormat="1" applyFont="1" applyBorder="1" applyAlignment="1" applyProtection="1">
      <alignment horizontal="center"/>
      <protection locked="0"/>
    </xf>
    <xf numFmtId="3" fontId="7" fillId="0" borderId="14" xfId="549" applyNumberFormat="1" applyFont="1" applyBorder="1" applyAlignment="1" applyProtection="1">
      <protection locked="0"/>
    </xf>
    <xf numFmtId="0" fontId="7" fillId="0" borderId="0" xfId="549" applyNumberFormat="1" applyFont="1" applyAlignment="1" applyProtection="1">
      <alignment horizontal="center"/>
      <protection locked="0"/>
    </xf>
    <xf numFmtId="41" fontId="7" fillId="0" borderId="0" xfId="549" applyNumberFormat="1" applyFont="1" applyAlignment="1" applyProtection="1">
      <protection locked="0"/>
    </xf>
    <xf numFmtId="41" fontId="7" fillId="0" borderId="0" xfId="549" applyNumberFormat="1" applyFont="1" applyAlignment="1" applyProtection="1">
      <alignment horizontal="center"/>
      <protection locked="0"/>
    </xf>
    <xf numFmtId="41" fontId="7" fillId="0" borderId="0" xfId="549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7" fillId="0" borderId="0" xfId="549" applyNumberFormat="1" applyFont="1" applyBorder="1" applyAlignment="1" applyProtection="1">
      <alignment horizontal="right"/>
      <protection locked="0"/>
    </xf>
    <xf numFmtId="167" fontId="48" fillId="0" borderId="0" xfId="549" applyNumberFormat="1" applyFont="1" applyFill="1" applyAlignment="1" applyProtection="1">
      <protection locked="0"/>
    </xf>
    <xf numFmtId="165" fontId="15" fillId="0" borderId="15" xfId="549" applyNumberFormat="1" applyFont="1" applyBorder="1" applyAlignment="1" applyProtection="1">
      <alignment horizontal="center"/>
      <protection locked="0"/>
    </xf>
    <xf numFmtId="0" fontId="7" fillId="0" borderId="6" xfId="549" applyNumberFormat="1" applyFont="1" applyBorder="1" applyAlignment="1" applyProtection="1">
      <alignment horizontal="center"/>
      <protection locked="0"/>
    </xf>
    <xf numFmtId="170" fontId="7" fillId="0" borderId="6" xfId="549" applyNumberFormat="1" applyFont="1" applyBorder="1" applyAlignment="1" applyProtection="1">
      <alignment horizontal="center"/>
      <protection locked="0"/>
    </xf>
    <xf numFmtId="171" fontId="0" fillId="0" borderId="16" xfId="0" applyNumberFormat="1" applyBorder="1"/>
    <xf numFmtId="3" fontId="7" fillId="0" borderId="0" xfId="549" applyNumberFormat="1" applyFont="1" applyAlignment="1" applyProtection="1">
      <alignment horizontal="right"/>
      <protection locked="0"/>
    </xf>
    <xf numFmtId="10" fontId="7" fillId="0" borderId="0" xfId="549" applyNumberFormat="1" applyFont="1" applyFill="1" applyAlignment="1" applyProtection="1">
      <alignment horizontal="left"/>
      <protection locked="0"/>
    </xf>
    <xf numFmtId="41" fontId="7" fillId="0" borderId="0" xfId="549" applyNumberFormat="1" applyFont="1" applyBorder="1" applyAlignment="1" applyProtection="1">
      <protection locked="0"/>
    </xf>
    <xf numFmtId="0" fontId="39" fillId="0" borderId="0" xfId="0" applyFont="1"/>
    <xf numFmtId="41" fontId="7" fillId="0" borderId="0" xfId="549" applyNumberFormat="1" applyFont="1" applyFill="1" applyAlignment="1" applyProtection="1">
      <protection locked="0"/>
    </xf>
    <xf numFmtId="170" fontId="0" fillId="0" borderId="0" xfId="0" applyNumberFormat="1"/>
    <xf numFmtId="41" fontId="7" fillId="0" borderId="0" xfId="549" quotePrefix="1" applyNumberFormat="1" applyFont="1" applyBorder="1" applyAlignment="1" applyProtection="1">
      <protection locked="0"/>
    </xf>
    <xf numFmtId="41" fontId="7" fillId="0" borderId="0" xfId="549" applyNumberFormat="1" applyFont="1" applyFill="1" applyBorder="1" applyAlignment="1" applyProtection="1">
      <alignment horizontal="right"/>
      <protection locked="0"/>
    </xf>
    <xf numFmtId="172" fontId="7" fillId="0" borderId="11" xfId="549" applyNumberFormat="1" applyFont="1" applyBorder="1" applyAlignment="1" applyProtection="1">
      <protection locked="0"/>
    </xf>
    <xf numFmtId="164" fontId="7" fillId="0" borderId="0" xfId="549" applyNumberFormat="1" applyFont="1" applyFill="1" applyBorder="1" applyAlignment="1" applyProtection="1">
      <alignment horizontal="left"/>
      <protection locked="0"/>
    </xf>
    <xf numFmtId="164" fontId="7" fillId="0" borderId="0" xfId="549" applyNumberFormat="1" applyFont="1" applyBorder="1" applyAlignment="1" applyProtection="1">
      <alignment horizontal="left"/>
      <protection locked="0"/>
    </xf>
    <xf numFmtId="3" fontId="7" fillId="0" borderId="0" xfId="549" applyNumberFormat="1" applyFont="1" applyAlignment="1" applyProtection="1">
      <alignment vertical="center" wrapText="1"/>
      <protection locked="0"/>
    </xf>
    <xf numFmtId="41" fontId="7" fillId="0" borderId="0" xfId="549" applyNumberFormat="1" applyFont="1" applyBorder="1" applyAlignment="1" applyProtection="1">
      <alignment vertical="center"/>
      <protection locked="0"/>
    </xf>
    <xf numFmtId="41" fontId="7" fillId="0" borderId="0" xfId="549" applyNumberFormat="1" applyFont="1" applyBorder="1" applyAlignment="1" applyProtection="1">
      <alignment horizontal="center" vertical="center"/>
      <protection locked="0"/>
    </xf>
    <xf numFmtId="41" fontId="7" fillId="0" borderId="0" xfId="549" applyNumberFormat="1" applyFont="1" applyAlignment="1" applyProtection="1">
      <alignment horizontal="right"/>
      <protection locked="0"/>
    </xf>
    <xf numFmtId="10" fontId="7" fillId="0" borderId="0" xfId="0" applyNumberFormat="1" applyFont="1" applyBorder="1"/>
    <xf numFmtId="0" fontId="7" fillId="0" borderId="0" xfId="0" applyFont="1" applyFill="1" applyAlignment="1">
      <alignment horizontal="center"/>
    </xf>
    <xf numFmtId="41" fontId="7" fillId="0" borderId="0" xfId="0" applyNumberFormat="1" applyFont="1"/>
    <xf numFmtId="0" fontId="7" fillId="0" borderId="0" xfId="0" applyFont="1" applyFill="1" applyBorder="1" applyAlignment="1"/>
    <xf numFmtId="3" fontId="14" fillId="0" borderId="0" xfId="549" applyNumberFormat="1" applyFont="1" applyFill="1" applyBorder="1" applyAlignment="1" applyProtection="1">
      <protection locked="0"/>
    </xf>
    <xf numFmtId="41" fontId="7" fillId="0" borderId="11" xfId="549" applyNumberFormat="1" applyFont="1" applyFill="1" applyBorder="1" applyAlignment="1" applyProtection="1">
      <protection locked="0"/>
    </xf>
    <xf numFmtId="3" fontId="14" fillId="0" borderId="0" xfId="549" applyNumberFormat="1" applyFont="1" applyFill="1" applyBorder="1" applyAlignment="1" applyProtection="1">
      <alignment horizontal="center"/>
      <protection locked="0"/>
    </xf>
    <xf numFmtId="41" fontId="7" fillId="0" borderId="0" xfId="549" applyNumberFormat="1" applyFont="1" applyFill="1" applyBorder="1" applyAlignment="1" applyProtection="1">
      <protection locked="0"/>
    </xf>
    <xf numFmtId="41" fontId="14" fillId="0" borderId="0" xfId="549" applyNumberFormat="1" applyFont="1" applyFill="1" applyBorder="1" applyAlignment="1" applyProtection="1">
      <protection locked="0"/>
    </xf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0" fontId="14" fillId="0" borderId="0" xfId="549" applyNumberFormat="1" applyFont="1" applyFill="1" applyBorder="1" applyProtection="1">
      <protection locked="0"/>
    </xf>
    <xf numFmtId="0" fontId="7" fillId="0" borderId="0" xfId="549" applyNumberFormat="1" applyFont="1" applyFill="1" applyBorder="1" applyAlignment="1" applyProtection="1">
      <protection locked="0"/>
    </xf>
    <xf numFmtId="3" fontId="7" fillId="0" borderId="0" xfId="549" applyNumberFormat="1" applyFont="1" applyFill="1" applyBorder="1" applyAlignment="1" applyProtection="1">
      <protection locked="0"/>
    </xf>
    <xf numFmtId="41" fontId="7" fillId="0" borderId="0" xfId="549" applyNumberFormat="1" applyFont="1" applyFill="1" applyBorder="1" applyAlignment="1" applyProtection="1">
      <alignment horizontal="center"/>
      <protection locked="0"/>
    </xf>
    <xf numFmtId="0" fontId="7" fillId="0" borderId="0" xfId="549" applyNumberFormat="1" applyFont="1" applyFill="1" applyBorder="1" applyProtection="1">
      <protection locked="0"/>
    </xf>
    <xf numFmtId="3" fontId="7" fillId="0" borderId="0" xfId="549" applyNumberFormat="1" applyFont="1" applyFill="1" applyBorder="1" applyAlignment="1" applyProtection="1">
      <alignment horizontal="center"/>
      <protection locked="0"/>
    </xf>
    <xf numFmtId="0" fontId="7" fillId="0" borderId="0" xfId="549" applyNumberFormat="1" applyFont="1" applyFill="1" applyBorder="1" applyAlignment="1" applyProtection="1">
      <alignment horizontal="center"/>
      <protection locked="0"/>
    </xf>
    <xf numFmtId="10" fontId="7" fillId="0" borderId="0" xfId="549" applyNumberFormat="1" applyFont="1" applyFill="1" applyBorder="1" applyAlignment="1" applyProtection="1">
      <protection locked="0"/>
    </xf>
    <xf numFmtId="167" fontId="7" fillId="0" borderId="0" xfId="549" applyNumberFormat="1" applyFont="1" applyFill="1" applyBorder="1" applyAlignment="1" applyProtection="1">
      <protection locked="0"/>
    </xf>
    <xf numFmtId="169" fontId="7" fillId="0" borderId="0" xfId="549" applyFont="1" applyFill="1" applyBorder="1" applyAlignment="1" applyProtection="1">
      <protection locked="0"/>
    </xf>
    <xf numFmtId="3" fontId="7" fillId="0" borderId="0" xfId="549" quotePrefix="1" applyNumberFormat="1" applyFont="1" applyFill="1" applyBorder="1" applyAlignment="1" applyProtection="1">
      <protection locked="0"/>
    </xf>
    <xf numFmtId="3" fontId="39" fillId="0" borderId="0" xfId="549" applyNumberFormat="1" applyFont="1" applyFill="1" applyBorder="1" applyAlignment="1" applyProtection="1">
      <alignment horizontal="right"/>
      <protection locked="0"/>
    </xf>
    <xf numFmtId="167" fontId="39" fillId="0" borderId="0" xfId="549" applyNumberFormat="1" applyFont="1" applyFill="1" applyBorder="1" applyAlignment="1" applyProtection="1">
      <protection locked="0"/>
    </xf>
    <xf numFmtId="3" fontId="39" fillId="0" borderId="0" xfId="549" quotePrefix="1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/>
    <xf numFmtId="170" fontId="7" fillId="0" borderId="0" xfId="117" applyNumberFormat="1" applyFont="1" applyFill="1" applyBorder="1"/>
    <xf numFmtId="41" fontId="48" fillId="0" borderId="0" xfId="549" applyNumberFormat="1" applyFont="1" applyFill="1" applyBorder="1" applyAlignment="1" applyProtection="1">
      <protection locked="0"/>
    </xf>
    <xf numFmtId="0" fontId="0" fillId="0" borderId="0" xfId="0" applyAlignment="1"/>
    <xf numFmtId="41" fontId="7" fillId="0" borderId="11" xfId="0" applyNumberFormat="1" applyFont="1" applyFill="1" applyBorder="1"/>
    <xf numFmtId="41" fontId="7" fillId="0" borderId="0" xfId="0" applyNumberFormat="1" applyFont="1" applyBorder="1"/>
    <xf numFmtId="41" fontId="48" fillId="0" borderId="0" xfId="0" applyNumberFormat="1" applyFont="1"/>
    <xf numFmtId="0" fontId="9" fillId="0" borderId="0" xfId="0" applyFont="1" applyFill="1" applyAlignment="1">
      <alignment horizontal="left"/>
    </xf>
    <xf numFmtId="0" fontId="0" fillId="0" borderId="0" xfId="0" applyFill="1" applyAlignment="1"/>
    <xf numFmtId="41" fontId="7" fillId="0" borderId="0" xfId="0" applyNumberFormat="1" applyFont="1" applyFill="1"/>
    <xf numFmtId="170" fontId="7" fillId="0" borderId="0" xfId="117" applyNumberFormat="1" applyFont="1" applyFill="1"/>
    <xf numFmtId="10" fontId="7" fillId="0" borderId="11" xfId="0" applyNumberFormat="1" applyFont="1" applyFill="1" applyBorder="1"/>
    <xf numFmtId="9" fontId="7" fillId="0" borderId="11" xfId="559" applyFont="1" applyFill="1" applyBorder="1"/>
    <xf numFmtId="170" fontId="7" fillId="0" borderId="11" xfId="117" applyNumberFormat="1" applyFont="1" applyFill="1" applyBorder="1" applyAlignment="1"/>
    <xf numFmtId="41" fontId="0" fillId="0" borderId="0" xfId="0" applyNumberFormat="1"/>
    <xf numFmtId="41" fontId="7" fillId="0" borderId="11" xfId="0" applyNumberFormat="1" applyFont="1" applyBorder="1"/>
    <xf numFmtId="10" fontId="7" fillId="0" borderId="0" xfId="0" applyNumberFormat="1" applyFont="1"/>
    <xf numFmtId="10" fontId="48" fillId="0" borderId="0" xfId="0" applyNumberFormat="1" applyFont="1"/>
    <xf numFmtId="0" fontId="7" fillId="0" borderId="0" xfId="0" applyFont="1" applyFill="1" applyBorder="1" applyAlignment="1">
      <alignment wrapText="1"/>
    </xf>
    <xf numFmtId="170" fontId="7" fillId="0" borderId="11" xfId="117" applyNumberFormat="1" applyFont="1" applyFill="1" applyBorder="1"/>
    <xf numFmtId="0" fontId="0" fillId="0" borderId="0" xfId="0" applyFill="1"/>
    <xf numFmtId="174" fontId="7" fillId="0" borderId="0" xfId="0" applyNumberFormat="1" applyFont="1"/>
    <xf numFmtId="43" fontId="7" fillId="0" borderId="0" xfId="117" applyFont="1"/>
    <xf numFmtId="43" fontId="7" fillId="0" borderId="0" xfId="117" applyNumberFormat="1" applyFont="1"/>
    <xf numFmtId="170" fontId="7" fillId="0" borderId="0" xfId="0" applyNumberFormat="1" applyFont="1"/>
    <xf numFmtId="0" fontId="50" fillId="0" borderId="0" xfId="0" applyFo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170" fontId="7" fillId="0" borderId="25" xfId="117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0" fontId="7" fillId="0" borderId="26" xfId="117" applyNumberFormat="1" applyFont="1" applyFill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1" fontId="7" fillId="0" borderId="24" xfId="0" applyNumberFormat="1" applyFont="1" applyFill="1" applyBorder="1"/>
    <xf numFmtId="170" fontId="5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50" fillId="0" borderId="0" xfId="0" applyFont="1" applyFill="1"/>
    <xf numFmtId="0" fontId="7" fillId="0" borderId="0" xfId="117" applyNumberFormat="1" applyFont="1" applyFill="1" applyAlignment="1" applyProtection="1">
      <protection locked="0"/>
    </xf>
    <xf numFmtId="169" fontId="15" fillId="0" borderId="17" xfId="549" applyFont="1" applyBorder="1" applyAlignment="1" applyProtection="1">
      <protection locked="0"/>
    </xf>
    <xf numFmtId="169" fontId="7" fillId="0" borderId="18" xfId="549" applyFont="1" applyBorder="1" applyAlignment="1" applyProtection="1">
      <protection locked="0"/>
    </xf>
    <xf numFmtId="3" fontId="7" fillId="0" borderId="19" xfId="549" applyNumberFormat="1" applyFont="1" applyBorder="1" applyAlignment="1" applyProtection="1">
      <protection locked="0"/>
    </xf>
    <xf numFmtId="167" fontId="7" fillId="0" borderId="0" xfId="549" applyNumberFormat="1" applyFont="1" applyAlignment="1" applyProtection="1">
      <protection locked="0"/>
    </xf>
    <xf numFmtId="0" fontId="0" fillId="0" borderId="0" xfId="0" applyBorder="1" applyAlignment="1">
      <alignment horizontal="right"/>
    </xf>
    <xf numFmtId="171" fontId="0" fillId="0" borderId="0" xfId="0" applyNumberFormat="1" applyBorder="1"/>
    <xf numFmtId="171" fontId="0" fillId="0" borderId="14" xfId="0" applyNumberFormat="1" applyBorder="1"/>
    <xf numFmtId="171" fontId="0" fillId="0" borderId="6" xfId="0" applyNumberFormat="1" applyBorder="1"/>
    <xf numFmtId="167" fontId="48" fillId="0" borderId="0" xfId="549" applyNumberFormat="1" applyFont="1" applyAlignment="1" applyProtection="1">
      <protection locked="0"/>
    </xf>
    <xf numFmtId="170" fontId="0" fillId="0" borderId="0" xfId="0" applyNumberFormat="1" applyBorder="1"/>
    <xf numFmtId="170" fontId="0" fillId="0" borderId="19" xfId="0" applyNumberFormat="1" applyBorder="1"/>
    <xf numFmtId="173" fontId="7" fillId="0" borderId="0" xfId="549" applyNumberFormat="1" applyFont="1" applyAlignment="1" applyProtection="1">
      <protection locked="0"/>
    </xf>
    <xf numFmtId="165" fontId="7" fillId="0" borderId="15" xfId="549" applyNumberFormat="1" applyFont="1" applyBorder="1" applyAlignment="1" applyProtection="1">
      <alignment horizontal="center"/>
      <protection locked="0"/>
    </xf>
    <xf numFmtId="170" fontId="7" fillId="0" borderId="6" xfId="549" quotePrefix="1" applyNumberFormat="1" applyFont="1" applyBorder="1" applyAlignment="1" applyProtection="1">
      <alignment horizontal="center"/>
      <protection locked="0"/>
    </xf>
    <xf numFmtId="41" fontId="48" fillId="0" borderId="11" xfId="549" applyNumberFormat="1" applyFont="1" applyFill="1" applyBorder="1" applyAlignment="1" applyProtection="1">
      <protection locked="0"/>
    </xf>
    <xf numFmtId="9" fontId="7" fillId="0" borderId="0" xfId="559" applyFont="1" applyFill="1" applyBorder="1"/>
    <xf numFmtId="170" fontId="7" fillId="0" borderId="0" xfId="117" applyNumberFormat="1" applyFont="1" applyFill="1" applyBorder="1" applyAlignment="1"/>
    <xf numFmtId="41" fontId="56" fillId="0" borderId="0" xfId="0" applyNumberFormat="1" applyFont="1"/>
    <xf numFmtId="10" fontId="0" fillId="0" borderId="0" xfId="0" applyNumberFormat="1"/>
    <xf numFmtId="164" fontId="1" fillId="0" borderId="0" xfId="559" applyNumberFormat="1"/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28" borderId="6" xfId="549" applyNumberFormat="1" applyFont="1" applyFill="1" applyBorder="1" applyAlignment="1" applyProtection="1">
      <alignment horizontal="center"/>
      <protection locked="0"/>
    </xf>
    <xf numFmtId="0" fontId="7" fillId="28" borderId="0" xfId="549" applyNumberFormat="1" applyFont="1" applyFill="1" applyBorder="1" applyAlignment="1" applyProtection="1">
      <alignment horizontal="center"/>
      <protection locked="0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65" fillId="0" borderId="0" xfId="0" quotePrefix="1" applyFont="1" applyAlignment="1">
      <alignment horizontal="left"/>
    </xf>
    <xf numFmtId="0" fontId="0" fillId="0" borderId="27" xfId="0" applyBorder="1"/>
    <xf numFmtId="0" fontId="66" fillId="0" borderId="0" xfId="0" quotePrefix="1" applyFont="1" applyAlignment="1">
      <alignment horizontal="left"/>
    </xf>
    <xf numFmtId="0" fontId="64" fillId="0" borderId="0" xfId="0" quotePrefix="1" applyFont="1" applyAlignment="1">
      <alignment horizontal="left"/>
    </xf>
    <xf numFmtId="170" fontId="54" fillId="0" borderId="24" xfId="0" applyNumberFormat="1" applyFont="1" applyBorder="1"/>
    <xf numFmtId="170" fontId="54" fillId="0" borderId="25" xfId="0" applyNumberFormat="1" applyFont="1" applyBorder="1"/>
    <xf numFmtId="171" fontId="54" fillId="0" borderId="26" xfId="0" applyNumberFormat="1" applyFont="1" applyBorder="1"/>
    <xf numFmtId="0" fontId="39" fillId="0" borderId="0" xfId="0" quotePrefix="1" applyFont="1" applyAlignment="1">
      <alignment horizontal="left"/>
    </xf>
    <xf numFmtId="0" fontId="7" fillId="28" borderId="0" xfId="117" applyNumberFormat="1" applyFont="1" applyFill="1" applyAlignment="1" applyProtection="1">
      <protection locked="0"/>
    </xf>
    <xf numFmtId="171" fontId="54" fillId="0" borderId="25" xfId="0" applyNumberFormat="1" applyFont="1" applyBorder="1"/>
    <xf numFmtId="0" fontId="46" fillId="0" borderId="0" xfId="0" applyFont="1" applyAlignment="1">
      <alignment horizontal="center"/>
    </xf>
    <xf numFmtId="0" fontId="0" fillId="0" borderId="23" xfId="0" applyBorder="1" applyAlignment="1"/>
    <xf numFmtId="0" fontId="68" fillId="0" borderId="0" xfId="0" quotePrefix="1" applyFont="1" applyAlignment="1">
      <alignment horizontal="left"/>
    </xf>
    <xf numFmtId="0" fontId="68" fillId="0" borderId="0" xfId="0" applyFont="1"/>
    <xf numFmtId="0" fontId="69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0" fontId="52" fillId="0" borderId="0" xfId="0" applyFont="1" applyFill="1" applyAlignment="1">
      <alignment horizontal="left"/>
    </xf>
    <xf numFmtId="0" fontId="39" fillId="0" borderId="13" xfId="0" applyFont="1" applyFill="1" applyBorder="1" applyAlignment="1">
      <alignment horizontal="center"/>
    </xf>
    <xf numFmtId="171" fontId="7" fillId="0" borderId="25" xfId="0" applyNumberFormat="1" applyFont="1" applyFill="1" applyBorder="1"/>
    <xf numFmtId="3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69" fontId="14" fillId="0" borderId="0" xfId="549" applyFont="1" applyFill="1" applyAlignment="1"/>
    <xf numFmtId="49" fontId="71" fillId="0" borderId="0" xfId="549" applyNumberFormat="1" applyFont="1" applyFill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70" fontId="1" fillId="0" borderId="11" xfId="117" applyNumberFormat="1" applyBorder="1"/>
    <xf numFmtId="43" fontId="1" fillId="0" borderId="0" xfId="117"/>
    <xf numFmtId="0" fontId="65" fillId="0" borderId="0" xfId="0" quotePrefix="1" applyFont="1" applyFill="1" applyBorder="1" applyAlignment="1">
      <alignment horizontal="center" wrapText="1"/>
    </xf>
    <xf numFmtId="0" fontId="65" fillId="0" borderId="0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centerContinuous"/>
    </xf>
    <xf numFmtId="0" fontId="72" fillId="0" borderId="0" xfId="0" applyFont="1" applyFill="1"/>
    <xf numFmtId="0" fontId="65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170" fontId="64" fillId="27" borderId="0" xfId="117" applyNumberFormat="1" applyFont="1" applyFill="1" applyAlignment="1">
      <alignment vertical="center"/>
    </xf>
    <xf numFmtId="170" fontId="1" fillId="0" borderId="0" xfId="117" applyNumberFormat="1" applyAlignment="1">
      <alignment vertical="center"/>
    </xf>
    <xf numFmtId="170" fontId="39" fillId="0" borderId="0" xfId="117" applyNumberFormat="1" applyFont="1" applyAlignment="1">
      <alignment horizontal="center" vertical="center"/>
    </xf>
    <xf numFmtId="170" fontId="39" fillId="0" borderId="0" xfId="117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1" fillId="0" borderId="0" xfId="117" applyAlignment="1">
      <alignment vertical="center"/>
    </xf>
    <xf numFmtId="0" fontId="0" fillId="0" borderId="0" xfId="0" quotePrefix="1" applyAlignment="1">
      <alignment horizontal="left" vertical="center"/>
    </xf>
    <xf numFmtId="170" fontId="64" fillId="27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3" fontId="14" fillId="0" borderId="0" xfId="0" quotePrefix="1" applyNumberFormat="1" applyFont="1" applyFill="1" applyAlignment="1">
      <alignment horizontal="center"/>
    </xf>
    <xf numFmtId="0" fontId="0" fillId="0" borderId="33" xfId="0" applyBorder="1"/>
    <xf numFmtId="0" fontId="0" fillId="0" borderId="2" xfId="0" applyBorder="1"/>
    <xf numFmtId="170" fontId="1" fillId="0" borderId="2" xfId="117" applyNumberFormat="1" applyBorder="1"/>
    <xf numFmtId="0" fontId="0" fillId="0" borderId="34" xfId="0" applyBorder="1"/>
    <xf numFmtId="0" fontId="0" fillId="0" borderId="0" xfId="0" applyBorder="1" applyAlignment="1">
      <alignment horizontal="center"/>
    </xf>
    <xf numFmtId="49" fontId="71" fillId="0" borderId="0" xfId="549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11" xfId="0" applyBorder="1"/>
    <xf numFmtId="0" fontId="0" fillId="0" borderId="37" xfId="0" applyBorder="1"/>
    <xf numFmtId="170" fontId="7" fillId="0" borderId="14" xfId="117" applyNumberFormat="1" applyFont="1" applyFill="1" applyBorder="1"/>
    <xf numFmtId="170" fontId="7" fillId="0" borderId="16" xfId="117" applyNumberFormat="1" applyFont="1" applyFill="1" applyBorder="1"/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43" fontId="53" fillId="0" borderId="0" xfId="117" applyFont="1" applyAlignment="1">
      <alignment horizontal="center" vertical="center"/>
    </xf>
    <xf numFmtId="0" fontId="65" fillId="0" borderId="0" xfId="0" quotePrefix="1" applyFont="1" applyBorder="1" applyAlignment="1">
      <alignment horizontal="center" wrapText="1"/>
    </xf>
    <xf numFmtId="170" fontId="1" fillId="0" borderId="0" xfId="117" applyNumberFormat="1" applyFont="1" applyFill="1" applyAlignment="1">
      <alignment vertical="center"/>
    </xf>
    <xf numFmtId="170" fontId="1" fillId="0" borderId="0" xfId="117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Continuous"/>
    </xf>
    <xf numFmtId="0" fontId="65" fillId="0" borderId="11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left"/>
    </xf>
    <xf numFmtId="0" fontId="0" fillId="0" borderId="25" xfId="0" applyBorder="1"/>
    <xf numFmtId="0" fontId="0" fillId="0" borderId="38" xfId="0" applyBorder="1" applyAlignment="1">
      <alignment wrapText="1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1" fontId="54" fillId="0" borderId="25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0" fontId="52" fillId="0" borderId="0" xfId="0" quotePrefix="1" applyFont="1" applyFill="1" applyAlignment="1">
      <alignment horizontal="left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64" fontId="1" fillId="0" borderId="0" xfId="0" applyNumberFormat="1" applyFont="1" applyFill="1"/>
    <xf numFmtId="171" fontId="0" fillId="0" borderId="0" xfId="327" applyNumberFormat="1" applyFont="1"/>
    <xf numFmtId="170" fontId="0" fillId="0" borderId="26" xfId="0" applyNumberFormat="1" applyBorder="1"/>
    <xf numFmtId="0" fontId="0" fillId="0" borderId="0" xfId="0" quotePrefix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53" fillId="0" borderId="0" xfId="0" quotePrefix="1" applyFont="1" applyAlignment="1">
      <alignment horizontal="left"/>
    </xf>
    <xf numFmtId="43" fontId="75" fillId="0" borderId="0" xfId="117" applyFont="1" applyAlignment="1">
      <alignment horizontal="left" vertical="center"/>
    </xf>
    <xf numFmtId="170" fontId="75" fillId="0" borderId="0" xfId="117" applyNumberFormat="1" applyFont="1" applyAlignment="1">
      <alignment horizontal="center" vertical="center"/>
    </xf>
    <xf numFmtId="1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71" fontId="7" fillId="0" borderId="19" xfId="0" applyNumberFormat="1" applyFont="1" applyBorder="1"/>
    <xf numFmtId="170" fontId="39" fillId="0" borderId="25" xfId="117" applyNumberFormat="1" applyFont="1" applyBorder="1" applyAlignment="1">
      <alignment horizontal="center"/>
    </xf>
    <xf numFmtId="170" fontId="0" fillId="0" borderId="25" xfId="0" applyNumberFormat="1" applyBorder="1" applyAlignment="1">
      <alignment vertical="center"/>
    </xf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170" fontId="1" fillId="0" borderId="0" xfId="117" applyNumberFormat="1" applyFont="1" applyAlignment="1">
      <alignment horizontal="center" vertical="center"/>
    </xf>
    <xf numFmtId="170" fontId="0" fillId="0" borderId="0" xfId="117" applyNumberFormat="1" applyFont="1"/>
    <xf numFmtId="170" fontId="54" fillId="27" borderId="0" xfId="0" applyNumberFormat="1" applyFont="1" applyFill="1" applyBorder="1"/>
    <xf numFmtId="170" fontId="54" fillId="27" borderId="24" xfId="117" applyNumberFormat="1" applyFont="1" applyFill="1" applyBorder="1"/>
    <xf numFmtId="170" fontId="54" fillId="27" borderId="25" xfId="117" applyNumberFormat="1" applyFont="1" applyFill="1" applyBorder="1"/>
    <xf numFmtId="170" fontId="54" fillId="27" borderId="0" xfId="0" quotePrefix="1" applyNumberFormat="1" applyFont="1" applyFill="1" applyBorder="1" applyAlignment="1">
      <alignment horizontal="left"/>
    </xf>
    <xf numFmtId="170" fontId="54" fillId="27" borderId="14" xfId="117" applyNumberFormat="1" applyFont="1" applyFill="1" applyBorder="1"/>
    <xf numFmtId="170" fontId="54" fillId="27" borderId="25" xfId="0" applyNumberFormat="1" applyFont="1" applyFill="1" applyBorder="1"/>
    <xf numFmtId="170" fontId="64" fillId="27" borderId="25" xfId="117" applyNumberFormat="1" applyFont="1" applyFill="1" applyBorder="1"/>
    <xf numFmtId="170" fontId="54" fillId="27" borderId="24" xfId="0" applyNumberFormat="1" applyFont="1" applyFill="1" applyBorder="1"/>
    <xf numFmtId="168" fontId="54" fillId="27" borderId="25" xfId="117" applyNumberFormat="1" applyFont="1" applyFill="1" applyBorder="1"/>
    <xf numFmtId="168" fontId="54" fillId="27" borderId="14" xfId="117" applyNumberFormat="1" applyFont="1" applyFill="1" applyBorder="1"/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5" fontId="5" fillId="0" borderId="14" xfId="0" applyNumberFormat="1" applyFont="1" applyBorder="1"/>
    <xf numFmtId="176" fontId="7" fillId="0" borderId="14" xfId="117" applyNumberFormat="1" applyFont="1" applyBorder="1"/>
    <xf numFmtId="171" fontId="54" fillId="29" borderId="25" xfId="0" applyNumberFormat="1" applyFont="1" applyFill="1" applyBorder="1"/>
    <xf numFmtId="171" fontId="7" fillId="29" borderId="25" xfId="0" applyNumberFormat="1" applyFont="1" applyFill="1" applyBorder="1"/>
    <xf numFmtId="0" fontId="61" fillId="28" borderId="22" xfId="0" quotePrefix="1" applyFont="1" applyFill="1" applyBorder="1" applyAlignment="1">
      <alignment horizontal="center"/>
    </xf>
    <xf numFmtId="43" fontId="76" fillId="0" borderId="0" xfId="117" applyFont="1" applyAlignment="1">
      <alignment vertical="center"/>
    </xf>
    <xf numFmtId="171" fontId="54" fillId="29" borderId="24" xfId="0" applyNumberFormat="1" applyFont="1" applyFill="1" applyBorder="1"/>
    <xf numFmtId="171" fontId="7" fillId="29" borderId="24" xfId="0" applyNumberFormat="1" applyFont="1" applyFill="1" applyBorder="1"/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70" fontId="7" fillId="0" borderId="15" xfId="0" applyNumberFormat="1" applyFont="1" applyBorder="1"/>
    <xf numFmtId="0" fontId="7" fillId="0" borderId="25" xfId="0" applyNumberFormat="1" applyFont="1" applyFill="1" applyBorder="1" applyAlignment="1">
      <alignment horizontal="center"/>
    </xf>
    <xf numFmtId="0" fontId="7" fillId="27" borderId="0" xfId="0" applyFont="1" applyFill="1"/>
    <xf numFmtId="0" fontId="7" fillId="0" borderId="0" xfId="0" quotePrefix="1" applyFont="1" applyAlignment="1">
      <alignment horizontal="center" vertical="center"/>
    </xf>
    <xf numFmtId="171" fontId="7" fillId="0" borderId="18" xfId="0" applyNumberFormat="1" applyFont="1" applyFill="1" applyBorder="1"/>
    <xf numFmtId="170" fontId="54" fillId="27" borderId="14" xfId="0" applyNumberFormat="1" applyFont="1" applyFill="1" applyBorder="1"/>
    <xf numFmtId="0" fontId="0" fillId="0" borderId="24" xfId="0" applyBorder="1" applyAlignment="1">
      <alignment horizontal="center"/>
    </xf>
    <xf numFmtId="43" fontId="77" fillId="27" borderId="24" xfId="117" applyFont="1" applyFill="1" applyBorder="1" applyAlignment="1">
      <alignment horizontal="right"/>
    </xf>
    <xf numFmtId="43" fontId="77" fillId="27" borderId="25" xfId="117" applyFont="1" applyFill="1" applyBorder="1" applyAlignment="1">
      <alignment horizontal="center"/>
    </xf>
    <xf numFmtId="43" fontId="77" fillId="27" borderId="24" xfId="117" applyFont="1" applyFill="1" applyBorder="1"/>
    <xf numFmtId="43" fontId="1" fillId="27" borderId="24" xfId="117" applyFill="1" applyBorder="1"/>
    <xf numFmtId="43" fontId="0" fillId="0" borderId="24" xfId="117" applyFont="1" applyBorder="1"/>
    <xf numFmtId="43" fontId="77" fillId="27" borderId="25" xfId="117" applyFont="1" applyFill="1" applyBorder="1"/>
    <xf numFmtId="43" fontId="1" fillId="27" borderId="25" xfId="117" applyFill="1" applyBorder="1"/>
    <xf numFmtId="43" fontId="0" fillId="0" borderId="25" xfId="117" applyFont="1" applyBorder="1"/>
    <xf numFmtId="43" fontId="0" fillId="0" borderId="0" xfId="117" applyFont="1"/>
    <xf numFmtId="170" fontId="82" fillId="27" borderId="0" xfId="0" applyNumberFormat="1" applyFont="1" applyFill="1" applyBorder="1"/>
    <xf numFmtId="170" fontId="82" fillId="27" borderId="25" xfId="117" applyNumberFormat="1" applyFont="1" applyFill="1" applyBorder="1"/>
    <xf numFmtId="170" fontId="82" fillId="27" borderId="25" xfId="0" applyNumberFormat="1" applyFont="1" applyFill="1" applyBorder="1"/>
    <xf numFmtId="168" fontId="82" fillId="27" borderId="25" xfId="117" applyNumberFormat="1" applyFont="1" applyFill="1" applyBorder="1"/>
    <xf numFmtId="168" fontId="82" fillId="27" borderId="14" xfId="117" applyNumberFormat="1" applyFont="1" applyFill="1" applyBorder="1"/>
    <xf numFmtId="170" fontId="82" fillId="27" borderId="14" xfId="117" applyNumberFormat="1" applyFont="1" applyFill="1" applyBorder="1"/>
    <xf numFmtId="170" fontId="82" fillId="27" borderId="24" xfId="0" applyNumberFormat="1" applyFont="1" applyFill="1" applyBorder="1"/>
    <xf numFmtId="0" fontId="7" fillId="0" borderId="22" xfId="0" applyFont="1" applyFill="1" applyBorder="1" applyAlignment="1">
      <alignment horizontal="left"/>
    </xf>
    <xf numFmtId="0" fontId="83" fillId="0" borderId="0" xfId="549" applyNumberFormat="1" applyFont="1" applyFill="1" applyBorder="1" applyAlignment="1" applyProtection="1">
      <protection locked="0"/>
    </xf>
    <xf numFmtId="0" fontId="83" fillId="0" borderId="0" xfId="0" applyFont="1" applyAlignment="1">
      <alignment horizontal="left"/>
    </xf>
    <xf numFmtId="0" fontId="84" fillId="0" borderId="0" xfId="549" applyNumberFormat="1" applyFont="1" applyFill="1" applyBorder="1" applyAlignment="1" applyProtection="1">
      <protection locked="0"/>
    </xf>
    <xf numFmtId="170" fontId="54" fillId="27" borderId="13" xfId="0" applyNumberFormat="1" applyFont="1" applyFill="1" applyBorder="1"/>
    <xf numFmtId="171" fontId="7" fillId="0" borderId="13" xfId="0" applyNumberFormat="1" applyFont="1" applyBorder="1"/>
    <xf numFmtId="171" fontId="7" fillId="29" borderId="0" xfId="0" applyNumberFormat="1" applyFont="1" applyFill="1" applyBorder="1"/>
    <xf numFmtId="170" fontId="85" fillId="27" borderId="0" xfId="0" applyNumberFormat="1" applyFont="1" applyFill="1" applyBorder="1"/>
    <xf numFmtId="170" fontId="85" fillId="27" borderId="25" xfId="117" applyNumberFormat="1" applyFont="1" applyFill="1" applyBorder="1"/>
    <xf numFmtId="170" fontId="85" fillId="27" borderId="25" xfId="0" applyNumberFormat="1" applyFont="1" applyFill="1" applyBorder="1"/>
    <xf numFmtId="170" fontId="85" fillId="27" borderId="14" xfId="117" applyNumberFormat="1" applyFont="1" applyFill="1" applyBorder="1"/>
    <xf numFmtId="171" fontId="7" fillId="0" borderId="0" xfId="0" applyNumberFormat="1" applyFont="1" applyFill="1" applyBorder="1"/>
    <xf numFmtId="170" fontId="85" fillId="27" borderId="24" xfId="117" applyNumberFormat="1" applyFont="1" applyFill="1" applyBorder="1"/>
    <xf numFmtId="170" fontId="1" fillId="0" borderId="0" xfId="117" applyNumberFormat="1" applyBorder="1" applyAlignment="1">
      <alignment vertical="center"/>
    </xf>
    <xf numFmtId="170" fontId="1" fillId="0" borderId="0" xfId="117" applyNumberFormat="1" applyFont="1" applyBorder="1" applyAlignment="1">
      <alignment vertical="center"/>
    </xf>
    <xf numFmtId="170" fontId="39" fillId="0" borderId="0" xfId="117" applyNumberFormat="1" applyFont="1" applyBorder="1" applyAlignment="1">
      <alignment vertical="center"/>
    </xf>
    <xf numFmtId="0" fontId="7" fillId="0" borderId="0" xfId="0" applyFont="1" applyFill="1" applyAlignment="1"/>
    <xf numFmtId="170" fontId="82" fillId="27" borderId="24" xfId="117" applyNumberFormat="1" applyFont="1" applyFill="1" applyBorder="1"/>
    <xf numFmtId="170" fontId="7" fillId="0" borderId="0" xfId="0" applyNumberFormat="1" applyFont="1" applyAlignment="1">
      <alignment horizontal="left"/>
    </xf>
    <xf numFmtId="170" fontId="85" fillId="27" borderId="24" xfId="0" applyNumberFormat="1" applyFont="1" applyFill="1" applyBorder="1"/>
    <xf numFmtId="168" fontId="85" fillId="27" borderId="25" xfId="117" applyNumberFormat="1" applyFont="1" applyFill="1" applyBorder="1"/>
    <xf numFmtId="168" fontId="85" fillId="27" borderId="14" xfId="117" applyNumberFormat="1" applyFont="1" applyFill="1" applyBorder="1"/>
    <xf numFmtId="170" fontId="85" fillId="27" borderId="14" xfId="117" applyNumberFormat="1" applyFont="1" applyFill="1" applyBorder="1" applyAlignment="1">
      <alignment horizontal="right"/>
    </xf>
    <xf numFmtId="170" fontId="1" fillId="0" borderId="0" xfId="117" applyNumberFormat="1" applyFont="1" applyFill="1" applyBorder="1" applyAlignment="1">
      <alignment vertical="center"/>
    </xf>
    <xf numFmtId="170" fontId="1" fillId="0" borderId="0" xfId="117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64" fillId="27" borderId="0" xfId="117" applyNumberFormat="1" applyFont="1" applyFill="1" applyBorder="1" applyAlignment="1">
      <alignment vertical="center"/>
    </xf>
    <xf numFmtId="177" fontId="1" fillId="0" borderId="0" xfId="117" applyNumberFormat="1"/>
    <xf numFmtId="170" fontId="7" fillId="0" borderId="14" xfId="117" quotePrefix="1" applyNumberFormat="1" applyFont="1" applyFill="1" applyBorder="1" applyAlignment="1">
      <alignment horizontal="right"/>
    </xf>
    <xf numFmtId="0" fontId="47" fillId="0" borderId="0" xfId="0" applyFont="1" applyFill="1" applyAlignment="1">
      <alignment vertical="top"/>
    </xf>
    <xf numFmtId="170" fontId="7" fillId="0" borderId="26" xfId="0" applyNumberFormat="1" applyFont="1" applyFill="1" applyBorder="1"/>
    <xf numFmtId="0" fontId="103" fillId="0" borderId="39" xfId="0" applyFont="1" applyBorder="1"/>
    <xf numFmtId="0" fontId="103" fillId="0" borderId="40" xfId="0" applyFont="1" applyBorder="1"/>
    <xf numFmtId="0" fontId="103" fillId="0" borderId="14" xfId="0" applyFont="1" applyBorder="1"/>
    <xf numFmtId="10" fontId="54" fillId="0" borderId="41" xfId="0" applyNumberFormat="1" applyFont="1" applyBorder="1"/>
    <xf numFmtId="166" fontId="54" fillId="0" borderId="41" xfId="0" applyNumberFormat="1" applyFont="1" applyBorder="1"/>
    <xf numFmtId="41" fontId="54" fillId="0" borderId="13" xfId="0" applyNumberFormat="1" applyFont="1" applyBorder="1"/>
    <xf numFmtId="10" fontId="54" fillId="0" borderId="13" xfId="0" applyNumberFormat="1" applyFont="1" applyBorder="1"/>
    <xf numFmtId="170" fontId="54" fillId="0" borderId="41" xfId="0" applyNumberFormat="1" applyFont="1" applyBorder="1"/>
    <xf numFmtId="170" fontId="54" fillId="0" borderId="42" xfId="0" applyNumberFormat="1" applyFont="1" applyBorder="1"/>
    <xf numFmtId="3" fontId="54" fillId="0" borderId="43" xfId="0" applyNumberFormat="1" applyFont="1" applyBorder="1"/>
    <xf numFmtId="0" fontId="54" fillId="0" borderId="14" xfId="0" applyFont="1" applyBorder="1"/>
    <xf numFmtId="0" fontId="54" fillId="0" borderId="20" xfId="0" applyFont="1" applyBorder="1"/>
    <xf numFmtId="0" fontId="54" fillId="0" borderId="44" xfId="0" applyFont="1" applyBorder="1"/>
    <xf numFmtId="0" fontId="54" fillId="0" borderId="16" xfId="0" applyFont="1" applyBorder="1"/>
    <xf numFmtId="170" fontId="54" fillId="0" borderId="45" xfId="0" applyNumberFormat="1" applyFont="1" applyBorder="1"/>
    <xf numFmtId="0" fontId="7" fillId="0" borderId="17" xfId="0" quotePrefix="1" applyFont="1" applyFill="1" applyBorder="1" applyAlignment="1">
      <alignment horizontal="left"/>
    </xf>
    <xf numFmtId="0" fontId="0" fillId="0" borderId="46" xfId="0" quotePrefix="1" applyBorder="1" applyAlignment="1">
      <alignment horizontal="left"/>
    </xf>
    <xf numFmtId="170" fontId="54" fillId="0" borderId="41" xfId="317" applyNumberFormat="1" applyFont="1" applyBorder="1"/>
    <xf numFmtId="0" fontId="0" fillId="0" borderId="19" xfId="0" applyBorder="1"/>
    <xf numFmtId="0" fontId="7" fillId="0" borderId="47" xfId="0" quotePrefix="1" applyFont="1" applyFill="1" applyBorder="1" applyAlignment="1">
      <alignment horizontal="left"/>
    </xf>
    <xf numFmtId="0" fontId="54" fillId="0" borderId="41" xfId="0" quotePrefix="1" applyFont="1" applyFill="1" applyBorder="1" applyAlignment="1">
      <alignment horizontal="right"/>
    </xf>
    <xf numFmtId="43" fontId="73" fillId="0" borderId="0" xfId="117" applyNumberFormat="1" applyFont="1" applyAlignment="1">
      <alignment horizontal="center" vertical="center"/>
    </xf>
    <xf numFmtId="0" fontId="7" fillId="0" borderId="14" xfId="0" applyFont="1" applyFill="1" applyBorder="1"/>
    <xf numFmtId="170" fontId="0" fillId="0" borderId="0" xfId="121" applyNumberFormat="1" applyFont="1"/>
    <xf numFmtId="170" fontId="0" fillId="0" borderId="0" xfId="561" applyNumberFormat="1" applyFont="1"/>
    <xf numFmtId="0" fontId="0" fillId="0" borderId="0" xfId="0" quotePrefix="1" applyAlignment="1">
      <alignment horizontal="center"/>
    </xf>
    <xf numFmtId="170" fontId="7" fillId="0" borderId="0" xfId="121" applyNumberFormat="1" applyFont="1" applyFill="1" applyAlignment="1">
      <alignment vertical="center"/>
    </xf>
    <xf numFmtId="0" fontId="121" fillId="0" borderId="41" xfId="0" quotePrefix="1" applyFont="1" applyFill="1" applyBorder="1" applyAlignment="1">
      <alignment horizontal="right"/>
    </xf>
    <xf numFmtId="10" fontId="7" fillId="0" borderId="0" xfId="0" applyNumberFormat="1" applyFont="1" applyFill="1"/>
    <xf numFmtId="170" fontId="121" fillId="0" borderId="41" xfId="308" applyNumberFormat="1" applyFont="1" applyFill="1" applyBorder="1"/>
    <xf numFmtId="180" fontId="121" fillId="0" borderId="41" xfId="620" applyNumberFormat="1" applyFont="1" applyFill="1" applyBorder="1"/>
    <xf numFmtId="3" fontId="7" fillId="0" borderId="43" xfId="484" applyNumberFormat="1" applyFont="1" applyFill="1" applyBorder="1"/>
    <xf numFmtId="0" fontId="7" fillId="0" borderId="14" xfId="484" applyFont="1" applyFill="1" applyBorder="1"/>
    <xf numFmtId="10" fontId="121" fillId="0" borderId="41" xfId="561" applyNumberFormat="1" applyFont="1" applyFill="1" applyBorder="1"/>
    <xf numFmtId="170" fontId="121" fillId="0" borderId="42" xfId="0" applyNumberFormat="1" applyFont="1" applyFill="1" applyBorder="1"/>
    <xf numFmtId="170" fontId="7" fillId="0" borderId="0" xfId="0" applyNumberFormat="1" applyFont="1" applyFill="1" applyBorder="1"/>
    <xf numFmtId="0" fontId="39" fillId="0" borderId="11" xfId="0" applyFont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169" fontId="7" fillId="0" borderId="17" xfId="549" applyFont="1" applyBorder="1" applyAlignment="1" applyProtection="1">
      <alignment wrapText="1"/>
      <protection locked="0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490" applyFont="1" applyBorder="1" applyAlignment="1">
      <alignment horizontal="center"/>
    </xf>
    <xf numFmtId="0" fontId="6" fillId="0" borderId="0" xfId="490" quotePrefix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735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5 2" xfId="14"/>
    <cellStyle name="20% - Accent5 2 2" xfId="15"/>
    <cellStyle name="20% - Accent6" xfId="16" builtinId="50" customBuiltin="1"/>
    <cellStyle name="20% - Accent6 2" xfId="17"/>
    <cellStyle name="20% - Accent6 2 2" xfId="18"/>
    <cellStyle name="40% - Accent1" xfId="19" builtinId="31" customBuiltin="1"/>
    <cellStyle name="40% - Accent1 2" xfId="20"/>
    <cellStyle name="40% - Accent1 2 2" xfId="21"/>
    <cellStyle name="40% - Accent2" xfId="22" builtinId="35" customBuiltin="1"/>
    <cellStyle name="40% - Accent2 2" xfId="23"/>
    <cellStyle name="40% - Accent2 2 2" xfId="24"/>
    <cellStyle name="40% - Accent3" xfId="25" builtinId="39" customBuiltin="1"/>
    <cellStyle name="40% - Accent3 2" xfId="26"/>
    <cellStyle name="40% - Accent3 2 2" xfId="27"/>
    <cellStyle name="40% - Accent4" xfId="28" builtinId="43" customBuiltin="1"/>
    <cellStyle name="40% - Accent4 2" xfId="29"/>
    <cellStyle name="40% - Accent4 2 2" xfId="30"/>
    <cellStyle name="40% - Accent5" xfId="31" builtinId="47" customBuiltin="1"/>
    <cellStyle name="40% - Accent5 2" xfId="32"/>
    <cellStyle name="40% - Accent5 2 2" xfId="33"/>
    <cellStyle name="40% - Accent6" xfId="34" builtinId="51" customBuiltin="1"/>
    <cellStyle name="40% - Accent6 2" xfId="35"/>
    <cellStyle name="40% - Accent6 2 2" xfId="36"/>
    <cellStyle name="60% - Accent1" xfId="37" builtinId="32" customBuiltin="1"/>
    <cellStyle name="60% - Accent1 2" xfId="38"/>
    <cellStyle name="60% - Accent1 2 2" xfId="39"/>
    <cellStyle name="60% - Accent2" xfId="40" builtinId="36" customBuiltin="1"/>
    <cellStyle name="60% - Accent2 2" xfId="41"/>
    <cellStyle name="60% - Accent2 2 2" xfId="42"/>
    <cellStyle name="60% - Accent3" xfId="43" builtinId="40" customBuiltin="1"/>
    <cellStyle name="60% - Accent3 2" xfId="44"/>
    <cellStyle name="60% - Accent3 2 2" xfId="45"/>
    <cellStyle name="60% - Accent4" xfId="46" builtinId="44" customBuiltin="1"/>
    <cellStyle name="60% - Accent4 2" xfId="47"/>
    <cellStyle name="60% - Accent4 2 2" xfId="48"/>
    <cellStyle name="60% - Accent5" xfId="49" builtinId="48" customBuiltin="1"/>
    <cellStyle name="60% - Accent5 2" xfId="50"/>
    <cellStyle name="60% - Accent5 2 2" xfId="51"/>
    <cellStyle name="60% - Accent6" xfId="52" builtinId="52" customBuiltin="1"/>
    <cellStyle name="60% - Accent6 2" xfId="53"/>
    <cellStyle name="60% - Accent6 2 2" xfId="54"/>
    <cellStyle name="Accent1" xfId="55" builtinId="29" customBuiltin="1"/>
    <cellStyle name="Accent1 2" xfId="56"/>
    <cellStyle name="Accent1 2 2" xfId="57"/>
    <cellStyle name="Accent2" xfId="58" builtinId="33" customBuiltin="1"/>
    <cellStyle name="Accent2 2" xfId="59"/>
    <cellStyle name="Accent2 2 2" xfId="60"/>
    <cellStyle name="Accent3" xfId="61" builtinId="37" customBuiltin="1"/>
    <cellStyle name="Accent3 2" xfId="62"/>
    <cellStyle name="Accent3 2 2" xfId="63"/>
    <cellStyle name="Accent4" xfId="64" builtinId="41" customBuiltin="1"/>
    <cellStyle name="Accent4 2" xfId="65"/>
    <cellStyle name="Accent4 2 2" xfId="66"/>
    <cellStyle name="Accent5" xfId="67" builtinId="45" customBuiltin="1"/>
    <cellStyle name="Accent5 2" xfId="68"/>
    <cellStyle name="Accent5 2 2" xfId="69"/>
    <cellStyle name="Accent6" xfId="70" builtinId="49" customBuiltin="1"/>
    <cellStyle name="Accent6 2" xfId="71"/>
    <cellStyle name="Accent6 2 2" xfId="72"/>
    <cellStyle name="Bad" xfId="73" builtinId="27" customBuiltin="1"/>
    <cellStyle name="Bad 2" xfId="74"/>
    <cellStyle name="Bad 2 2" xfId="75"/>
    <cellStyle name="C00A" xfId="76"/>
    <cellStyle name="C00B" xfId="77"/>
    <cellStyle name="C00L" xfId="78"/>
    <cellStyle name="C01A" xfId="79"/>
    <cellStyle name="C01B" xfId="80"/>
    <cellStyle name="C01B 2" xfId="81"/>
    <cellStyle name="C01H" xfId="82"/>
    <cellStyle name="C01L" xfId="83"/>
    <cellStyle name="C02A" xfId="84"/>
    <cellStyle name="C02B" xfId="85"/>
    <cellStyle name="C02B 2" xfId="86"/>
    <cellStyle name="C02H" xfId="87"/>
    <cellStyle name="C02L" xfId="88"/>
    <cellStyle name="C03A" xfId="89"/>
    <cellStyle name="C03B" xfId="90"/>
    <cellStyle name="C03H" xfId="91"/>
    <cellStyle name="C03L" xfId="92"/>
    <cellStyle name="C04A" xfId="93"/>
    <cellStyle name="C04A 2" xfId="94"/>
    <cellStyle name="C04B" xfId="95"/>
    <cellStyle name="C04H" xfId="96"/>
    <cellStyle name="C04L" xfId="97"/>
    <cellStyle name="C05A" xfId="98"/>
    <cellStyle name="C05B" xfId="99"/>
    <cellStyle name="C05H" xfId="100"/>
    <cellStyle name="C05L" xfId="101"/>
    <cellStyle name="C05L 2" xfId="102"/>
    <cellStyle name="C06A" xfId="103"/>
    <cellStyle name="C06B" xfId="104"/>
    <cellStyle name="C06H" xfId="105"/>
    <cellStyle name="C06L" xfId="106"/>
    <cellStyle name="C07A" xfId="107"/>
    <cellStyle name="C07B" xfId="108"/>
    <cellStyle name="C07H" xfId="109"/>
    <cellStyle name="C07L" xfId="110"/>
    <cellStyle name="Calculation" xfId="111" builtinId="22" customBuiltin="1"/>
    <cellStyle name="Calculation 2" xfId="112"/>
    <cellStyle name="Calculation 2 2" xfId="113"/>
    <cellStyle name="Check Cell" xfId="114" builtinId="23" customBuiltin="1"/>
    <cellStyle name="Check Cell 2" xfId="115"/>
    <cellStyle name="Check Cell 2 2" xfId="116"/>
    <cellStyle name="Comma" xfId="117" builtinId="3"/>
    <cellStyle name="Comma [0] 2" xfId="118"/>
    <cellStyle name="Comma [0] 2 2" xfId="119"/>
    <cellStyle name="Comma 10" xfId="120"/>
    <cellStyle name="Comma 11" xfId="121"/>
    <cellStyle name="Comma 12" xfId="122"/>
    <cellStyle name="Comma 13" xfId="123"/>
    <cellStyle name="Comma 14" xfId="124"/>
    <cellStyle name="Comma 15" xfId="125"/>
    <cellStyle name="Comma 16" xfId="126"/>
    <cellStyle name="Comma 17" xfId="127"/>
    <cellStyle name="Comma 18" xfId="128"/>
    <cellStyle name="Comma 19" xfId="129"/>
    <cellStyle name="Comma 2" xfId="130"/>
    <cellStyle name="Comma 2 2" xfId="131"/>
    <cellStyle name="Comma 2 2 2" xfId="132"/>
    <cellStyle name="Comma 2 3" xfId="133"/>
    <cellStyle name="Comma 2 3 2" xfId="134"/>
    <cellStyle name="Comma 2 3 3" xfId="135"/>
    <cellStyle name="Comma 2 3 4" xfId="136"/>
    <cellStyle name="Comma 2 4" xfId="137"/>
    <cellStyle name="Comma 20" xfId="138"/>
    <cellStyle name="Comma 21" xfId="139"/>
    <cellStyle name="Comma 22" xfId="140"/>
    <cellStyle name="Comma 23" xfId="141"/>
    <cellStyle name="Comma 24" xfId="142"/>
    <cellStyle name="Comma 25" xfId="143"/>
    <cellStyle name="Comma 25 2" xfId="144"/>
    <cellStyle name="Comma 26" xfId="145"/>
    <cellStyle name="Comma 26 2" xfId="146"/>
    <cellStyle name="Comma 27" xfId="147"/>
    <cellStyle name="Comma 27 2" xfId="148"/>
    <cellStyle name="Comma 28" xfId="149"/>
    <cellStyle name="Comma 28 2" xfId="150"/>
    <cellStyle name="Comma 29" xfId="151"/>
    <cellStyle name="Comma 29 2" xfId="152"/>
    <cellStyle name="Comma 3" xfId="153"/>
    <cellStyle name="Comma 3 2" xfId="154"/>
    <cellStyle name="Comma 3 2 2" xfId="155"/>
    <cellStyle name="Comma 3 3" xfId="156"/>
    <cellStyle name="Comma 3 3 2" xfId="157"/>
    <cellStyle name="Comma 3 3 2 2" xfId="158"/>
    <cellStyle name="Comma 3 3 2 3" xfId="159"/>
    <cellStyle name="Comma 3 3 3" xfId="160"/>
    <cellStyle name="Comma 3 3 3 2" xfId="161"/>
    <cellStyle name="Comma 3 3 3 2 2" xfId="162"/>
    <cellStyle name="Comma 3 3 3 2 3" xfId="163"/>
    <cellStyle name="Comma 3 3 3 2 4" xfId="164"/>
    <cellStyle name="Comma 3 3 3 3" xfId="165"/>
    <cellStyle name="Comma 3 3 4" xfId="166"/>
    <cellStyle name="Comma 3 3 5" xfId="167"/>
    <cellStyle name="Comma 3 3 5 2" xfId="168"/>
    <cellStyle name="Comma 3 3 5 3" xfId="169"/>
    <cellStyle name="Comma 3 3 5 4" xfId="170"/>
    <cellStyle name="Comma 3 4" xfId="171"/>
    <cellStyle name="Comma 3 4 2" xfId="172"/>
    <cellStyle name="Comma 3 4 3" xfId="173"/>
    <cellStyle name="Comma 3 4 4" xfId="174"/>
    <cellStyle name="Comma 3 4 4 2" xfId="175"/>
    <cellStyle name="Comma 3 4 4 3" xfId="176"/>
    <cellStyle name="Comma 3 4 4 4" xfId="177"/>
    <cellStyle name="Comma 3 4 5" xfId="178"/>
    <cellStyle name="Comma 3 5" xfId="179"/>
    <cellStyle name="Comma 3 5 2" xfId="180"/>
    <cellStyle name="Comma 3 6" xfId="181"/>
    <cellStyle name="Comma 3 7" xfId="182"/>
    <cellStyle name="Comma 3 8" xfId="183"/>
    <cellStyle name="Comma 30" xfId="184"/>
    <cellStyle name="Comma 31" xfId="185"/>
    <cellStyle name="Comma 32" xfId="186"/>
    <cellStyle name="Comma 33" xfId="187"/>
    <cellStyle name="Comma 34" xfId="188"/>
    <cellStyle name="Comma 35" xfId="189"/>
    <cellStyle name="Comma 36" xfId="190"/>
    <cellStyle name="Comma 37" xfId="191"/>
    <cellStyle name="Comma 38" xfId="192"/>
    <cellStyle name="Comma 39" xfId="193"/>
    <cellStyle name="Comma 4" xfId="194"/>
    <cellStyle name="Comma 4 2" xfId="195"/>
    <cellStyle name="Comma 4 2 2" xfId="196"/>
    <cellStyle name="Comma 4 2 2 2" xfId="197"/>
    <cellStyle name="Comma 4 2 2 3" xfId="198"/>
    <cellStyle name="Comma 4 2 2 4" xfId="199"/>
    <cellStyle name="Comma 4 2 3" xfId="200"/>
    <cellStyle name="Comma 4 2 3 2" xfId="201"/>
    <cellStyle name="Comma 4 2 3 2 2" xfId="202"/>
    <cellStyle name="Comma 4 2 3 3" xfId="203"/>
    <cellStyle name="Comma 4 2 3 3 2" xfId="204"/>
    <cellStyle name="Comma 4 2 3 4" xfId="205"/>
    <cellStyle name="Comma 4 2 4" xfId="206"/>
    <cellStyle name="Comma 4 2 4 2" xfId="207"/>
    <cellStyle name="Comma 4 2 4 3" xfId="208"/>
    <cellStyle name="Comma 4 2 4 4" xfId="209"/>
    <cellStyle name="Comma 4 2 5" xfId="210"/>
    <cellStyle name="Comma 4 3" xfId="211"/>
    <cellStyle name="Comma 4 3 2" xfId="212"/>
    <cellStyle name="Comma 4 3 2 2" xfId="213"/>
    <cellStyle name="Comma 4 3 2 2 2" xfId="214"/>
    <cellStyle name="Comma 4 3 2 3" xfId="215"/>
    <cellStyle name="Comma 4 3 2 3 2" xfId="216"/>
    <cellStyle name="Comma 4 3 2 4" xfId="217"/>
    <cellStyle name="Comma 4 3 3" xfId="218"/>
    <cellStyle name="Comma 4 3 4" xfId="219"/>
    <cellStyle name="Comma 4 3 4 2" xfId="220"/>
    <cellStyle name="Comma 4 3 4 3" xfId="221"/>
    <cellStyle name="Comma 4 3 5" xfId="222"/>
    <cellStyle name="Comma 4 3 5 2" xfId="223"/>
    <cellStyle name="Comma 4 3 6" xfId="224"/>
    <cellStyle name="Comma 4 3 6 2" xfId="225"/>
    <cellStyle name="Comma 4 4" xfId="226"/>
    <cellStyle name="Comma 4 4 2" xfId="227"/>
    <cellStyle name="Comma 4 4 3" xfId="228"/>
    <cellStyle name="Comma 4 4 4" xfId="229"/>
    <cellStyle name="Comma 4 5" xfId="230"/>
    <cellStyle name="Comma 4 5 2" xfId="231"/>
    <cellStyle name="Comma 4 6" xfId="232"/>
    <cellStyle name="Comma 40" xfId="233"/>
    <cellStyle name="Comma 41" xfId="234"/>
    <cellStyle name="Comma 42" xfId="235"/>
    <cellStyle name="Comma 43" xfId="236"/>
    <cellStyle name="Comma 44" xfId="237"/>
    <cellStyle name="Comma 45" xfId="238"/>
    <cellStyle name="Comma 46" xfId="239"/>
    <cellStyle name="Comma 47" xfId="240"/>
    <cellStyle name="Comma 48" xfId="241"/>
    <cellStyle name="Comma 49" xfId="242"/>
    <cellStyle name="Comma 5" xfId="243"/>
    <cellStyle name="Comma 5 2" xfId="244"/>
    <cellStyle name="Comma 5 2 2" xfId="245"/>
    <cellStyle name="Comma 5 2 3" xfId="246"/>
    <cellStyle name="Comma 5 3" xfId="247"/>
    <cellStyle name="Comma 50" xfId="248"/>
    <cellStyle name="Comma 51" xfId="249"/>
    <cellStyle name="Comma 52" xfId="250"/>
    <cellStyle name="Comma 52 2" xfId="251"/>
    <cellStyle name="Comma 53" xfId="252"/>
    <cellStyle name="Comma 54" xfId="253"/>
    <cellStyle name="Comma 55" xfId="254"/>
    <cellStyle name="Comma 56" xfId="255"/>
    <cellStyle name="Comma 57" xfId="256"/>
    <cellStyle name="Comma 57 2" xfId="257"/>
    <cellStyle name="Comma 57 3" xfId="258"/>
    <cellStyle name="Comma 57 4" xfId="259"/>
    <cellStyle name="Comma 58" xfId="260"/>
    <cellStyle name="Comma 58 2" xfId="261"/>
    <cellStyle name="Comma 58 3" xfId="262"/>
    <cellStyle name="Comma 58 4" xfId="263"/>
    <cellStyle name="Comma 59" xfId="264"/>
    <cellStyle name="Comma 59 2" xfId="265"/>
    <cellStyle name="Comma 59 3" xfId="266"/>
    <cellStyle name="Comma 59 4" xfId="267"/>
    <cellStyle name="Comma 6" xfId="268"/>
    <cellStyle name="Comma 6 2" xfId="269"/>
    <cellStyle name="Comma 6 3" xfId="270"/>
    <cellStyle name="Comma 6 4" xfId="271"/>
    <cellStyle name="Comma 6 4 2" xfId="272"/>
    <cellStyle name="Comma 6 4 3" xfId="273"/>
    <cellStyle name="Comma 6 4 4" xfId="274"/>
    <cellStyle name="Comma 6 5" xfId="275"/>
    <cellStyle name="Comma 60" xfId="276"/>
    <cellStyle name="Comma 60 2" xfId="277"/>
    <cellStyle name="Comma 60 3" xfId="278"/>
    <cellStyle name="Comma 60 4" xfId="279"/>
    <cellStyle name="Comma 61" xfId="280"/>
    <cellStyle name="Comma 61 2" xfId="281"/>
    <cellStyle name="Comma 61 3" xfId="282"/>
    <cellStyle name="Comma 61 4" xfId="283"/>
    <cellStyle name="Comma 62" xfId="284"/>
    <cellStyle name="Comma 62 2" xfId="285"/>
    <cellStyle name="Comma 62 3" xfId="286"/>
    <cellStyle name="Comma 63" xfId="287"/>
    <cellStyle name="Comma 63 2" xfId="288"/>
    <cellStyle name="Comma 63 3" xfId="289"/>
    <cellStyle name="Comma 64" xfId="290"/>
    <cellStyle name="Comma 64 2" xfId="291"/>
    <cellStyle name="Comma 64 3" xfId="292"/>
    <cellStyle name="Comma 65" xfId="293"/>
    <cellStyle name="Comma 65 2" xfId="294"/>
    <cellStyle name="Comma 65 3" xfId="295"/>
    <cellStyle name="Comma 66" xfId="296"/>
    <cellStyle name="Comma 66 2" xfId="297"/>
    <cellStyle name="Comma 66 3" xfId="298"/>
    <cellStyle name="Comma 67" xfId="299"/>
    <cellStyle name="Comma 67 2" xfId="300"/>
    <cellStyle name="Comma 67 3" xfId="301"/>
    <cellStyle name="Comma 68" xfId="302"/>
    <cellStyle name="Comma 68 2" xfId="303"/>
    <cellStyle name="Comma 68 3" xfId="304"/>
    <cellStyle name="Comma 69" xfId="305"/>
    <cellStyle name="Comma 69 2" xfId="306"/>
    <cellStyle name="Comma 7" xfId="307"/>
    <cellStyle name="Comma 7 2" xfId="308"/>
    <cellStyle name="Comma 70" xfId="309"/>
    <cellStyle name="Comma 70 2" xfId="310"/>
    <cellStyle name="Comma 71" xfId="311"/>
    <cellStyle name="Comma 71 2" xfId="312"/>
    <cellStyle name="Comma 72" xfId="313"/>
    <cellStyle name="Comma 73" xfId="314"/>
    <cellStyle name="Comma 74" xfId="315"/>
    <cellStyle name="Comma 75" xfId="316"/>
    <cellStyle name="Comma 76" xfId="317"/>
    <cellStyle name="Comma 8" xfId="318"/>
    <cellStyle name="Comma 9" xfId="319"/>
    <cellStyle name="Comma0" xfId="320"/>
    <cellStyle name="Comma0 2" xfId="321"/>
    <cellStyle name="Comma0 2 2" xfId="322"/>
    <cellStyle name="Comma0 2 3" xfId="323"/>
    <cellStyle name="Comma0 2 4" xfId="324"/>
    <cellStyle name="Comma0 2 5" xfId="325"/>
    <cellStyle name="Comma0 3" xfId="326"/>
    <cellStyle name="Currency" xfId="327" builtinId="4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 3 2 2" xfId="334"/>
    <cellStyle name="Currency 3 3" xfId="335"/>
    <cellStyle name="Currency 3 3 2" xfId="336"/>
    <cellStyle name="Currency 3 3 2 2" xfId="337"/>
    <cellStyle name="Currency 3 3 2 3" xfId="338"/>
    <cellStyle name="Currency 3 3 3" xfId="339"/>
    <cellStyle name="Currency 3 3 3 2" xfId="340"/>
    <cellStyle name="Currency 3 3 3 2 2" xfId="341"/>
    <cellStyle name="Currency 3 3 3 2 3" xfId="342"/>
    <cellStyle name="Currency 3 3 3 2 4" xfId="343"/>
    <cellStyle name="Currency 3 3 3 3" xfId="344"/>
    <cellStyle name="Currency 3 3 4" xfId="345"/>
    <cellStyle name="Currency 3 3 5" xfId="346"/>
    <cellStyle name="Currency 3 3 5 2" xfId="347"/>
    <cellStyle name="Currency 3 3 5 3" xfId="348"/>
    <cellStyle name="Currency 3 3 5 4" xfId="349"/>
    <cellStyle name="Currency 3 4" xfId="350"/>
    <cellStyle name="Currency 3 4 2" xfId="351"/>
    <cellStyle name="Currency 3 4 3" xfId="352"/>
    <cellStyle name="Currency 3 4 4" xfId="353"/>
    <cellStyle name="Currency 3 4 4 2" xfId="354"/>
    <cellStyle name="Currency 3 4 4 3" xfId="355"/>
    <cellStyle name="Currency 3 4 4 4" xfId="356"/>
    <cellStyle name="Currency 3 4 5" xfId="357"/>
    <cellStyle name="Currency 3 5" xfId="358"/>
    <cellStyle name="Currency 3 5 2" xfId="359"/>
    <cellStyle name="Currency 3 6" xfId="360"/>
    <cellStyle name="Currency 3 7" xfId="361"/>
    <cellStyle name="Currency 3 8" xfId="362"/>
    <cellStyle name="Currency 4" xfId="363"/>
    <cellStyle name="Currency 4 10" xfId="364"/>
    <cellStyle name="Currency 4 10 2" xfId="365"/>
    <cellStyle name="Currency 4 10 2 2" xfId="366"/>
    <cellStyle name="Currency 4 10 2 2 2" xfId="367"/>
    <cellStyle name="Currency 4 10 2 3" xfId="368"/>
    <cellStyle name="Currency 4 10 2 3 2" xfId="369"/>
    <cellStyle name="Currency 4 10 2 4" xfId="370"/>
    <cellStyle name="Currency 4 10 3" xfId="371"/>
    <cellStyle name="Currency 4 10 3 2" xfId="372"/>
    <cellStyle name="Currency 4 10 4" xfId="373"/>
    <cellStyle name="Currency 4 10 4 2" xfId="374"/>
    <cellStyle name="Currency 4 10 4 3" xfId="375"/>
    <cellStyle name="Currency 4 10 5" xfId="376"/>
    <cellStyle name="Currency 4 10 5 2" xfId="377"/>
    <cellStyle name="Currency 4 2" xfId="378"/>
    <cellStyle name="Currency 4 2 2" xfId="379"/>
    <cellStyle name="Currency 4 2 3" xfId="380"/>
    <cellStyle name="Currency 4 3" xfId="381"/>
    <cellStyle name="Currency 4 3 2" xfId="382"/>
    <cellStyle name="Currency 4 3 2 2" xfId="383"/>
    <cellStyle name="Currency 4 3 2 3" xfId="384"/>
    <cellStyle name="Currency 4 3 2 4" xfId="385"/>
    <cellStyle name="Currency 4 3 3" xfId="386"/>
    <cellStyle name="Currency 4 4" xfId="387"/>
    <cellStyle name="Currency 4 5" xfId="388"/>
    <cellStyle name="Currency 4 5 2" xfId="389"/>
    <cellStyle name="Currency 4 5 3" xfId="390"/>
    <cellStyle name="Currency 4 5 4" xfId="391"/>
    <cellStyle name="Currency 5" xfId="392"/>
    <cellStyle name="Currency 5 2" xfId="393"/>
    <cellStyle name="Currency 5 3" xfId="394"/>
    <cellStyle name="Currency 5 4" xfId="395"/>
    <cellStyle name="Currency 5 4 2" xfId="396"/>
    <cellStyle name="Currency 5 4 3" xfId="397"/>
    <cellStyle name="Currency 5 4 4" xfId="398"/>
    <cellStyle name="Currency 5 5" xfId="399"/>
    <cellStyle name="Currency 6" xfId="400"/>
    <cellStyle name="Currency 6 2" xfId="401"/>
    <cellStyle name="Currency 6 3" xfId="402"/>
    <cellStyle name="Currency 6 3 2" xfId="403"/>
    <cellStyle name="Currency 6 3 3" xfId="404"/>
    <cellStyle name="Currency 6 3 4" xfId="405"/>
    <cellStyle name="Currency 7" xfId="406"/>
    <cellStyle name="Currency 8" xfId="407"/>
    <cellStyle name="Currency 9" xfId="408"/>
    <cellStyle name="Currency0" xfId="409"/>
    <cellStyle name="Currency0 2" xfId="410"/>
    <cellStyle name="Currency0 2 2" xfId="411"/>
    <cellStyle name="Currency0 2 3" xfId="412"/>
    <cellStyle name="Currency0 2 4" xfId="413"/>
    <cellStyle name="Currency0 2 5" xfId="414"/>
    <cellStyle name="Currency0 3" xfId="415"/>
    <cellStyle name="Date" xfId="416"/>
    <cellStyle name="Date 2" xfId="417"/>
    <cellStyle name="Date 2 2" xfId="418"/>
    <cellStyle name="Date 2 3" xfId="419"/>
    <cellStyle name="Date 2 4" xfId="420"/>
    <cellStyle name="Date 2 5" xfId="421"/>
    <cellStyle name="Date 3" xfId="422"/>
    <cellStyle name="Explanatory Text" xfId="423" builtinId="53" customBuiltin="1"/>
    <cellStyle name="Explanatory Text 2" xfId="424"/>
    <cellStyle name="Explanatory Text 2 2" xfId="425"/>
    <cellStyle name="Fixed" xfId="426"/>
    <cellStyle name="Fixed 2" xfId="427"/>
    <cellStyle name="Fixed 2 2" xfId="428"/>
    <cellStyle name="Fixed 2 3" xfId="429"/>
    <cellStyle name="Fixed 2 4" xfId="430"/>
    <cellStyle name="Fixed 2 5" xfId="431"/>
    <cellStyle name="Fixed 3" xfId="432"/>
    <cellStyle name="Good" xfId="433" builtinId="26" customBuiltin="1"/>
    <cellStyle name="Good 2" xfId="434"/>
    <cellStyle name="Good 2 2" xfId="435"/>
    <cellStyle name="Heading 1" xfId="436" builtinId="16" customBuiltin="1"/>
    <cellStyle name="Heading 1 2" xfId="437"/>
    <cellStyle name="Heading 1 2 2" xfId="438"/>
    <cellStyle name="Heading 1 3" xfId="439"/>
    <cellStyle name="Heading 1 3 2" xfId="440"/>
    <cellStyle name="Heading 2" xfId="441" builtinId="17" customBuiltin="1"/>
    <cellStyle name="Heading 2 2" xfId="442"/>
    <cellStyle name="Heading 2 2 2" xfId="443"/>
    <cellStyle name="Heading 2 3" xfId="444"/>
    <cellStyle name="Heading 2 3 2" xfId="445"/>
    <cellStyle name="Heading 3" xfId="446" builtinId="18" customBuiltin="1"/>
    <cellStyle name="Heading 3 2" xfId="447"/>
    <cellStyle name="Heading 3 2 2" xfId="448"/>
    <cellStyle name="Heading 4" xfId="449" builtinId="19" customBuiltin="1"/>
    <cellStyle name="Heading 4 2" xfId="450"/>
    <cellStyle name="Heading 4 2 2" xfId="451"/>
    <cellStyle name="Heading1" xfId="452"/>
    <cellStyle name="Heading2" xfId="453"/>
    <cellStyle name="Input" xfId="454" builtinId="20" customBuiltin="1"/>
    <cellStyle name="Input 2" xfId="455"/>
    <cellStyle name="Input 2 2" xfId="456"/>
    <cellStyle name="Linked Cell" xfId="457" builtinId="24" customBuiltin="1"/>
    <cellStyle name="Linked Cell 2" xfId="458"/>
    <cellStyle name="Linked Cell 2 2" xfId="459"/>
    <cellStyle name="M" xfId="460"/>
    <cellStyle name="M 2" xfId="461"/>
    <cellStyle name="M 2 2" xfId="462"/>
    <cellStyle name="M 2 2 2" xfId="463"/>
    <cellStyle name="M 3" xfId="464"/>
    <cellStyle name="M 3 2" xfId="465"/>
    <cellStyle name="M 3 2 2" xfId="466"/>
    <cellStyle name="M 4" xfId="467"/>
    <cellStyle name="M 5" xfId="468"/>
    <cellStyle name="M 5 2" xfId="469"/>
    <cellStyle name="M 6" xfId="470"/>
    <cellStyle name="M 6 2" xfId="471"/>
    <cellStyle name="M 7" xfId="472"/>
    <cellStyle name="Neutral" xfId="473" builtinId="28" customBuiltin="1"/>
    <cellStyle name="Neutral 2" xfId="474"/>
    <cellStyle name="Neutral 2 2" xfId="475"/>
    <cellStyle name="Normal" xfId="0" builtinId="0"/>
    <cellStyle name="Normal 10" xfId="476"/>
    <cellStyle name="Normal 10 2" xfId="477"/>
    <cellStyle name="Normal 11" xfId="478"/>
    <cellStyle name="Normal 11 2" xfId="479"/>
    <cellStyle name="Normal 11 3" xfId="480"/>
    <cellStyle name="Normal 12" xfId="481"/>
    <cellStyle name="Normal 12 2" xfId="482"/>
    <cellStyle name="Normal 12 3" xfId="483"/>
    <cellStyle name="Normal 2" xfId="484"/>
    <cellStyle name="Normal 2 2" xfId="485"/>
    <cellStyle name="Normal 2 2 2" xfId="486"/>
    <cellStyle name="Normal 2 2 3" xfId="487"/>
    <cellStyle name="Normal 2 2 4" xfId="488"/>
    <cellStyle name="Normal 3" xfId="489"/>
    <cellStyle name="Normal 3 2" xfId="490"/>
    <cellStyle name="Normal 3 2 2" xfId="491"/>
    <cellStyle name="Normal 3 3" xfId="492"/>
    <cellStyle name="Normal 3 3 2" xfId="493"/>
    <cellStyle name="Normal 3 3 3" xfId="494"/>
    <cellStyle name="Normal 3 3 4" xfId="495"/>
    <cellStyle name="Normal 3_OPCo Period I PJM  Formula Rate" xfId="496"/>
    <cellStyle name="Normal 35" xfId="497"/>
    <cellStyle name="Normal 4" xfId="498"/>
    <cellStyle name="Normal 4 2" xfId="499"/>
    <cellStyle name="Normal 4 2 2" xfId="500"/>
    <cellStyle name="Normal 4 3" xfId="501"/>
    <cellStyle name="Normal 4 3 2" xfId="502"/>
    <cellStyle name="Normal 4 3 2 2" xfId="503"/>
    <cellStyle name="Normal 4 3 2 3" xfId="504"/>
    <cellStyle name="Normal 4 3 3" xfId="505"/>
    <cellStyle name="Normal 4 3 3 2" xfId="506"/>
    <cellStyle name="Normal 4 3 3 2 2" xfId="507"/>
    <cellStyle name="Normal 4 3 3 2 3" xfId="508"/>
    <cellStyle name="Normal 4 3 3 2 4" xfId="509"/>
    <cellStyle name="Normal 4 3 3 3" xfId="510"/>
    <cellStyle name="Normal 4 3 4" xfId="511"/>
    <cellStyle name="Normal 4 3 5" xfId="512"/>
    <cellStyle name="Normal 4 3 5 2" xfId="513"/>
    <cellStyle name="Normal 4 3 5 3" xfId="514"/>
    <cellStyle name="Normal 4 3 5 4" xfId="515"/>
    <cellStyle name="Normal 4 4" xfId="516"/>
    <cellStyle name="Normal 4 4 2" xfId="517"/>
    <cellStyle name="Normal 4 4 3" xfId="518"/>
    <cellStyle name="Normal 4 4 4" xfId="519"/>
    <cellStyle name="Normal 4 4 4 2" xfId="520"/>
    <cellStyle name="Normal 4 4 4 3" xfId="521"/>
    <cellStyle name="Normal 4 4 4 4" xfId="522"/>
    <cellStyle name="Normal 4 4 5" xfId="523"/>
    <cellStyle name="Normal 4 5" xfId="524"/>
    <cellStyle name="Normal 4 5 2" xfId="525"/>
    <cellStyle name="Normal 4 5 2 2" xfId="526"/>
    <cellStyle name="Normal 4 5 2 2 2" xfId="527"/>
    <cellStyle name="Normal 4 5 2 2 3" xfId="528"/>
    <cellStyle name="Normal 4 5 2 2 4" xfId="529"/>
    <cellStyle name="Normal 4 5 3" xfId="530"/>
    <cellStyle name="Normal 4 6" xfId="531"/>
    <cellStyle name="Normal 4 7" xfId="532"/>
    <cellStyle name="Normal 4 8" xfId="533"/>
    <cellStyle name="Normal 4_PBOP Exhibit 1" xfId="534"/>
    <cellStyle name="Normal 5" xfId="535"/>
    <cellStyle name="Normal 5 2" xfId="536"/>
    <cellStyle name="Normal 5 2 2" xfId="537"/>
    <cellStyle name="Normal 5 2 3" xfId="538"/>
    <cellStyle name="Normal 5 2 4" xfId="539"/>
    <cellStyle name="Normal 6" xfId="540"/>
    <cellStyle name="Normal 6 2" xfId="541"/>
    <cellStyle name="Normal 7" xfId="542"/>
    <cellStyle name="Normal 7 2" xfId="543"/>
    <cellStyle name="Normal 7 3" xfId="544"/>
    <cellStyle name="Normal 8" xfId="545"/>
    <cellStyle name="Normal 8 2" xfId="546"/>
    <cellStyle name="Normal 9" xfId="547"/>
    <cellStyle name="Normal 9 2" xfId="548"/>
    <cellStyle name="Normal_FN1 Ratebase Draft SPP template (6-11-04) v2" xfId="549"/>
    <cellStyle name="Note" xfId="550" builtinId="10" customBuiltin="1"/>
    <cellStyle name="Note 2" xfId="551"/>
    <cellStyle name="Note 2 2" xfId="552"/>
    <cellStyle name="Note 2 2 2" xfId="553"/>
    <cellStyle name="Note 2 2 3" xfId="554"/>
    <cellStyle name="Note 2 2 4" xfId="555"/>
    <cellStyle name="Output" xfId="556" builtinId="21" customBuiltin="1"/>
    <cellStyle name="Output 2" xfId="557"/>
    <cellStyle name="Output 2 2" xfId="558"/>
    <cellStyle name="Percent" xfId="559" builtinId="5"/>
    <cellStyle name="Percent 10" xfId="560"/>
    <cellStyle name="Percent 2" xfId="561"/>
    <cellStyle name="Percent 2 2" xfId="562"/>
    <cellStyle name="Percent 2 2 2" xfId="563"/>
    <cellStyle name="Percent 2 3" xfId="564"/>
    <cellStyle name="Percent 3" xfId="565"/>
    <cellStyle name="Percent 3 2" xfId="566"/>
    <cellStyle name="Percent 3 2 2" xfId="567"/>
    <cellStyle name="Percent 3 3" xfId="568"/>
    <cellStyle name="Percent 3 3 2" xfId="569"/>
    <cellStyle name="Percent 3 3 2 2" xfId="570"/>
    <cellStyle name="Percent 3 3 2 3" xfId="571"/>
    <cellStyle name="Percent 3 3 3" xfId="572"/>
    <cellStyle name="Percent 3 3 3 2" xfId="573"/>
    <cellStyle name="Percent 3 3 3 2 2" xfId="574"/>
    <cellStyle name="Percent 3 3 3 2 3" xfId="575"/>
    <cellStyle name="Percent 3 3 3 2 4" xfId="576"/>
    <cellStyle name="Percent 3 3 3 3" xfId="577"/>
    <cellStyle name="Percent 3 3 4" xfId="578"/>
    <cellStyle name="Percent 3 3 5" xfId="579"/>
    <cellStyle name="Percent 3 3 5 2" xfId="580"/>
    <cellStyle name="Percent 3 3 5 3" xfId="581"/>
    <cellStyle name="Percent 3 3 5 4" xfId="582"/>
    <cellStyle name="Percent 3 4" xfId="583"/>
    <cellStyle name="Percent 3 4 2" xfId="584"/>
    <cellStyle name="Percent 3 4 3" xfId="585"/>
    <cellStyle name="Percent 3 4 4" xfId="586"/>
    <cellStyle name="Percent 3 4 4 2" xfId="587"/>
    <cellStyle name="Percent 3 4 4 3" xfId="588"/>
    <cellStyle name="Percent 3 4 4 4" xfId="589"/>
    <cellStyle name="Percent 3 4 5" xfId="590"/>
    <cellStyle name="Percent 3 5" xfId="591"/>
    <cellStyle name="Percent 3 5 2" xfId="592"/>
    <cellStyle name="Percent 3 6" xfId="593"/>
    <cellStyle name="Percent 3 7" xfId="594"/>
    <cellStyle name="Percent 3 8" xfId="595"/>
    <cellStyle name="Percent 4" xfId="596"/>
    <cellStyle name="Percent 4 2" xfId="597"/>
    <cellStyle name="Percent 4 2 2" xfId="598"/>
    <cellStyle name="Percent 4 2 3" xfId="599"/>
    <cellStyle name="Percent 4 3" xfId="600"/>
    <cellStyle name="Percent 4 3 2" xfId="601"/>
    <cellStyle name="Percent 4 3 2 2" xfId="602"/>
    <cellStyle name="Percent 4 3 2 3" xfId="603"/>
    <cellStyle name="Percent 4 3 2 4" xfId="604"/>
    <cellStyle name="Percent 4 3 3" xfId="605"/>
    <cellStyle name="Percent 4 4" xfId="606"/>
    <cellStyle name="Percent 4 5" xfId="607"/>
    <cellStyle name="Percent 4 5 2" xfId="608"/>
    <cellStyle name="Percent 4 5 3" xfId="609"/>
    <cellStyle name="Percent 4 5 4" xfId="610"/>
    <cellStyle name="Percent 5" xfId="611"/>
    <cellStyle name="Percent 5 2" xfId="612"/>
    <cellStyle name="Percent 5 3" xfId="613"/>
    <cellStyle name="Percent 5 4" xfId="614"/>
    <cellStyle name="Percent 5 4 2" xfId="615"/>
    <cellStyle name="Percent 5 4 3" xfId="616"/>
    <cellStyle name="Percent 5 4 4" xfId="617"/>
    <cellStyle name="Percent 5 5" xfId="618"/>
    <cellStyle name="Percent 6" xfId="619"/>
    <cellStyle name="Percent 6 2" xfId="620"/>
    <cellStyle name="Percent 7" xfId="621"/>
    <cellStyle name="Percent 7 2" xfId="622"/>
    <cellStyle name="Percent 7 2 2" xfId="623"/>
    <cellStyle name="Percent 7 2 2 2" xfId="624"/>
    <cellStyle name="Percent 7 2 2 2 2" xfId="625"/>
    <cellStyle name="Percent 7 2 2 3" xfId="626"/>
    <cellStyle name="Percent 7 2 2 3 2" xfId="627"/>
    <cellStyle name="Percent 7 2 2 4" xfId="628"/>
    <cellStyle name="Percent 7 2 3" xfId="629"/>
    <cellStyle name="Percent 7 2 3 2" xfId="630"/>
    <cellStyle name="Percent 7 2 4" xfId="631"/>
    <cellStyle name="Percent 7 2 4 2" xfId="632"/>
    <cellStyle name="Percent 7 2 4 3" xfId="633"/>
    <cellStyle name="Percent 7 2 5" xfId="634"/>
    <cellStyle name="Percent 7 2 5 2" xfId="635"/>
    <cellStyle name="Percent 7 3" xfId="636"/>
    <cellStyle name="Percent 7 4" xfId="637"/>
    <cellStyle name="Percent 7 5" xfId="638"/>
    <cellStyle name="Percent 8" xfId="639"/>
    <cellStyle name="Percent 9" xfId="640"/>
    <cellStyle name="PSChar" xfId="641"/>
    <cellStyle name="PSChar 2" xfId="642"/>
    <cellStyle name="PSChar 2 2" xfId="643"/>
    <cellStyle name="PSChar 3" xfId="644"/>
    <cellStyle name="PSChar 4" xfId="645"/>
    <cellStyle name="PSChar 4 2" xfId="646"/>
    <cellStyle name="PSChar 5" xfId="647"/>
    <cellStyle name="PSChar 5 2" xfId="648"/>
    <cellStyle name="PSDate" xfId="649"/>
    <cellStyle name="PSDate 2" xfId="650"/>
    <cellStyle name="PSDate 3" xfId="651"/>
    <cellStyle name="PSDate 4" xfId="652"/>
    <cellStyle name="PSDate 4 2" xfId="653"/>
    <cellStyle name="PSDate 5" xfId="654"/>
    <cellStyle name="PSDate 5 2" xfId="655"/>
    <cellStyle name="PSDec" xfId="656"/>
    <cellStyle name="PSDec 2" xfId="657"/>
    <cellStyle name="PSDec 3" xfId="658"/>
    <cellStyle name="PSDec 4" xfId="659"/>
    <cellStyle name="PSDec 4 2" xfId="660"/>
    <cellStyle name="PSDec 5" xfId="661"/>
    <cellStyle name="PSDec 5 2" xfId="662"/>
    <cellStyle name="PSdesc" xfId="663"/>
    <cellStyle name="PSdesc 2" xfId="664"/>
    <cellStyle name="PSHeading" xfId="665"/>
    <cellStyle name="PSHeading 2" xfId="666"/>
    <cellStyle name="PSHeading 3" xfId="667"/>
    <cellStyle name="PSHeading 4" xfId="668"/>
    <cellStyle name="PSHeading 5" xfId="669"/>
    <cellStyle name="PSHeading 5 2" xfId="670"/>
    <cellStyle name="PSHeading 6" xfId="671"/>
    <cellStyle name="PSHeading 6 2" xfId="672"/>
    <cellStyle name="PSInt" xfId="673"/>
    <cellStyle name="PSInt 2" xfId="674"/>
    <cellStyle name="PSInt 3" xfId="675"/>
    <cellStyle name="PSInt 4" xfId="676"/>
    <cellStyle name="PSInt 4 2" xfId="677"/>
    <cellStyle name="PSInt 5" xfId="678"/>
    <cellStyle name="PSInt 5 2" xfId="679"/>
    <cellStyle name="PSSpacer" xfId="680"/>
    <cellStyle name="PSSpacer 2" xfId="681"/>
    <cellStyle name="PSSpacer 3" xfId="682"/>
    <cellStyle name="PSSpacer 3 2" xfId="683"/>
    <cellStyle name="PStest" xfId="684"/>
    <cellStyle name="PStest 2" xfId="685"/>
    <cellStyle name="R00A" xfId="686"/>
    <cellStyle name="R00B" xfId="687"/>
    <cellStyle name="R00L" xfId="688"/>
    <cellStyle name="R01A" xfId="689"/>
    <cellStyle name="R01B" xfId="690"/>
    <cellStyle name="R01H" xfId="691"/>
    <cellStyle name="R01L" xfId="692"/>
    <cellStyle name="R02A" xfId="693"/>
    <cellStyle name="R02B" xfId="694"/>
    <cellStyle name="R02B 2" xfId="695"/>
    <cellStyle name="R02H" xfId="696"/>
    <cellStyle name="R02L" xfId="697"/>
    <cellStyle name="R03A" xfId="698"/>
    <cellStyle name="R03B" xfId="699"/>
    <cellStyle name="R03B 2" xfId="700"/>
    <cellStyle name="R03H" xfId="701"/>
    <cellStyle name="R03L" xfId="702"/>
    <cellStyle name="R04A" xfId="703"/>
    <cellStyle name="R04B" xfId="704"/>
    <cellStyle name="R04B 2" xfId="705"/>
    <cellStyle name="R04H" xfId="706"/>
    <cellStyle name="R04L" xfId="707"/>
    <cellStyle name="R05A" xfId="708"/>
    <cellStyle name="R05B" xfId="709"/>
    <cellStyle name="R05B 2" xfId="710"/>
    <cellStyle name="R05H" xfId="711"/>
    <cellStyle name="R05L" xfId="712"/>
    <cellStyle name="R05L 2" xfId="713"/>
    <cellStyle name="R06A" xfId="714"/>
    <cellStyle name="R06B" xfId="715"/>
    <cellStyle name="R06B 2" xfId="716"/>
    <cellStyle name="R06H" xfId="717"/>
    <cellStyle name="R06L" xfId="718"/>
    <cellStyle name="R07A" xfId="719"/>
    <cellStyle name="R07B" xfId="720"/>
    <cellStyle name="R07B 2" xfId="721"/>
    <cellStyle name="R07H" xfId="722"/>
    <cellStyle name="R07L" xfId="723"/>
    <cellStyle name="Title" xfId="724" builtinId="15" customBuiltin="1"/>
    <cellStyle name="Title 2" xfId="725"/>
    <cellStyle name="Title 2 2" xfId="726"/>
    <cellStyle name="Total" xfId="727" builtinId="25" customBuiltin="1"/>
    <cellStyle name="Total 2" xfId="728"/>
    <cellStyle name="Total 2 2" xfId="729"/>
    <cellStyle name="Total 3" xfId="730"/>
    <cellStyle name="Total 3 2" xfId="731"/>
    <cellStyle name="Warning Text" xfId="732" builtinId="11" customBuiltin="1"/>
    <cellStyle name="Warning Text 2" xfId="733"/>
    <cellStyle name="Warning Text 2 2" xfId="734"/>
  </cellStyles>
  <dxfs count="61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814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0195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8143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9167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0191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90"/>
  <sheetViews>
    <sheetView tabSelected="1" zoomScale="70" zoomScaleNormal="70" zoomScaleSheetLayoutView="75" workbookViewId="0">
      <selection activeCell="F20" sqref="F20"/>
    </sheetView>
  </sheetViews>
  <sheetFormatPr defaultRowHeight="12.75" customHeight="1"/>
  <cols>
    <col min="1" max="1" width="7.42578125" customWidth="1"/>
    <col min="2" max="2" width="7" bestFit="1" customWidth="1"/>
    <col min="3" max="3" width="43.140625" customWidth="1"/>
    <col min="4" max="4" width="9.5703125" customWidth="1"/>
    <col min="5" max="7" width="15.42578125" bestFit="1" customWidth="1"/>
    <col min="8" max="8" width="2.85546875" customWidth="1"/>
    <col min="9" max="9" width="13.5703125" bestFit="1" customWidth="1"/>
    <col min="10" max="10" width="13.28515625" customWidth="1"/>
    <col min="11" max="11" width="12.85546875" bestFit="1" customWidth="1"/>
    <col min="12" max="12" width="15.28515625" customWidth="1"/>
    <col min="13" max="13" width="2.42578125" customWidth="1"/>
    <col min="14" max="14" width="6.140625" customWidth="1"/>
    <col min="15" max="15" width="8.7109375" customWidth="1"/>
    <col min="16" max="16" width="10.7109375" customWidth="1"/>
    <col min="17" max="17" width="11.7109375" bestFit="1" customWidth="1"/>
    <col min="18" max="18" width="18.7109375" customWidth="1"/>
    <col min="19" max="19" width="2.42578125" customWidth="1"/>
    <col min="20" max="20" width="19.140625" bestFit="1" customWidth="1"/>
    <col min="22" max="22" width="13.85546875" customWidth="1"/>
    <col min="29" max="29" width="9.140625" customWidth="1"/>
  </cols>
  <sheetData>
    <row r="1" spans="1:23" ht="15">
      <c r="H1" s="271" t="s">
        <v>157</v>
      </c>
      <c r="U1">
        <v>2019</v>
      </c>
    </row>
    <row r="2" spans="1:23" ht="15">
      <c r="H2" s="301" t="s">
        <v>189</v>
      </c>
      <c r="U2">
        <f>+U1+1</f>
        <v>2020</v>
      </c>
    </row>
    <row r="3" spans="1:23" ht="15">
      <c r="H3" s="272" t="str">
        <f>"For Calendar Year "&amp;U1-1&amp;" and Projected Year "&amp;U1</f>
        <v>For Calendar Year 2018 and Projected Year 2019</v>
      </c>
    </row>
    <row r="4" spans="1:23" ht="15">
      <c r="H4" s="273"/>
    </row>
    <row r="5" spans="1:23" ht="15.75">
      <c r="H5" s="274" t="s">
        <v>158</v>
      </c>
    </row>
    <row r="7" spans="1:23" ht="18">
      <c r="C7" s="270"/>
      <c r="E7" s="270"/>
      <c r="F7" s="270"/>
      <c r="G7" s="270"/>
      <c r="H7" s="270" t="s">
        <v>124</v>
      </c>
      <c r="I7" s="270"/>
      <c r="J7" s="270"/>
      <c r="K7" s="270"/>
      <c r="L7" s="270"/>
    </row>
    <row r="8" spans="1:23">
      <c r="D8" s="107"/>
    </row>
    <row r="9" spans="1:23">
      <c r="A9" t="s">
        <v>260</v>
      </c>
    </row>
    <row r="12" spans="1:23" ht="22.5" customHeight="1">
      <c r="A12" s="287" t="s">
        <v>159</v>
      </c>
      <c r="B12" s="287" t="s">
        <v>160</v>
      </c>
      <c r="C12" s="351" t="s">
        <v>161</v>
      </c>
      <c r="D12" s="287" t="s">
        <v>162</v>
      </c>
      <c r="E12" s="287" t="s">
        <v>163</v>
      </c>
      <c r="F12" s="287" t="s">
        <v>164</v>
      </c>
      <c r="G12" s="287" t="str">
        <f>"(G) = "&amp;E12&amp;" + "&amp;F12</f>
        <v>(G) = (E) + (F)</v>
      </c>
      <c r="H12" s="287"/>
      <c r="I12" s="287" t="s">
        <v>165</v>
      </c>
      <c r="J12" s="287" t="s">
        <v>166</v>
      </c>
      <c r="K12" s="352" t="s">
        <v>197</v>
      </c>
      <c r="L12" s="287" t="str">
        <f>"(K) = "&amp;J12&amp;" - "&amp;K12</f>
        <v>(K) = (I) - (J)</v>
      </c>
      <c r="M12" s="287"/>
      <c r="N12" s="287" t="s">
        <v>198</v>
      </c>
      <c r="O12" s="287" t="s">
        <v>167</v>
      </c>
      <c r="P12" s="287" t="str">
        <f>"(N) = "&amp;N12&amp;"-"&amp;O12</f>
        <v>(N) = (L)-(M)</v>
      </c>
      <c r="Q12" s="287" t="s">
        <v>199</v>
      </c>
      <c r="R12" s="287" t="str">
        <f>"(P) = "&amp;I12&amp;"+"&amp;LEFT(L12,3)&amp;"+"&amp;LEFT(P12,3)&amp;"+"&amp;Q12</f>
        <v>(P) = (H)+(K)+(N)+(O)</v>
      </c>
      <c r="S12" s="287"/>
      <c r="T12" s="287" t="str">
        <f>"(Q) = "&amp;LEFT(G12,3)&amp;" + "&amp;LEFT(R12,3)</f>
        <v>(Q) = (G) + (P)</v>
      </c>
      <c r="U12" s="287"/>
      <c r="V12" s="288"/>
      <c r="W12" s="288"/>
    </row>
    <row r="13" spans="1:23" ht="16.5" customHeight="1">
      <c r="A13" s="9"/>
      <c r="B13" s="9"/>
      <c r="C13" s="9"/>
      <c r="D13" s="9"/>
      <c r="E13" s="473" t="str">
        <f>"Projected ARR For "&amp;U1&amp;" From WS-F"</f>
        <v>Projected ARR For 2019 From WS-F</v>
      </c>
      <c r="F13" s="473"/>
      <c r="G13" s="473"/>
      <c r="H13" s="9"/>
      <c r="I13" s="283" t="s">
        <v>324</v>
      </c>
      <c r="J13" s="283"/>
      <c r="K13" s="283"/>
      <c r="L13" s="283"/>
      <c r="M13" s="283"/>
      <c r="N13" s="283"/>
      <c r="O13" s="283"/>
      <c r="P13" s="283"/>
      <c r="Q13" s="283"/>
      <c r="R13" s="325"/>
      <c r="S13" s="9"/>
      <c r="T13" s="9"/>
      <c r="U13" s="9"/>
    </row>
    <row r="14" spans="1:23" ht="18" customHeight="1">
      <c r="I14" s="347"/>
      <c r="T14" s="474" t="str">
        <f>"Total ADJUSTED Revenue Requirement Effective
1/1/"&amp;U2&amp;""</f>
        <v>Total ADJUSTED Revenue Requirement Effective
1/1/2020</v>
      </c>
    </row>
    <row r="15" spans="1:23" ht="18" customHeight="1" thickBot="1">
      <c r="D15" s="9"/>
      <c r="E15" s="275"/>
      <c r="F15" s="275"/>
      <c r="G15" s="275"/>
      <c r="I15" s="283" t="s">
        <v>168</v>
      </c>
      <c r="J15" s="324"/>
      <c r="K15" s="324"/>
      <c r="L15" s="324"/>
      <c r="M15" s="282"/>
      <c r="N15" s="283" t="s">
        <v>196</v>
      </c>
      <c r="O15" s="323"/>
      <c r="P15" s="323"/>
      <c r="Q15" s="284"/>
      <c r="T15" s="474"/>
    </row>
    <row r="16" spans="1:23" ht="69" customHeight="1">
      <c r="A16" s="285" t="s">
        <v>179</v>
      </c>
      <c r="B16" s="276" t="s">
        <v>169</v>
      </c>
      <c r="C16" s="276" t="s">
        <v>131</v>
      </c>
      <c r="D16" s="286" t="s">
        <v>170</v>
      </c>
      <c r="E16" s="318" t="s">
        <v>194</v>
      </c>
      <c r="F16" s="277" t="s">
        <v>171</v>
      </c>
      <c r="G16" s="277" t="s">
        <v>172</v>
      </c>
      <c r="I16" s="281" t="s">
        <v>193</v>
      </c>
      <c r="J16" s="281" t="s">
        <v>223</v>
      </c>
      <c r="K16" s="281" t="s">
        <v>213</v>
      </c>
      <c r="L16" s="281" t="s">
        <v>195</v>
      </c>
      <c r="M16" s="281"/>
      <c r="N16" s="316" t="s">
        <v>173</v>
      </c>
      <c r="O16" s="316" t="s">
        <v>174</v>
      </c>
      <c r="P16" s="278" t="s">
        <v>175</v>
      </c>
      <c r="Q16" s="278" t="s">
        <v>176</v>
      </c>
      <c r="R16" s="318" t="s">
        <v>220</v>
      </c>
      <c r="T16" s="474"/>
      <c r="V16" s="327" t="s">
        <v>200</v>
      </c>
    </row>
    <row r="17" spans="1:23">
      <c r="B17" s="9"/>
      <c r="C17" s="9"/>
      <c r="E17" s="49"/>
      <c r="F17" s="49"/>
      <c r="G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49"/>
      <c r="V17" s="326"/>
    </row>
    <row r="18" spans="1:23">
      <c r="A18" s="287" t="s">
        <v>178</v>
      </c>
      <c r="B18" s="287" t="s">
        <v>117</v>
      </c>
      <c r="C18" s="298" t="str">
        <f t="shared" ref="C18:F42" ca="1" si="0">INDIRECT("'"&amp; $A18 &amp; "'!" &amp;C$51)</f>
        <v>Riverside-Glenpool (81-523) Reconductor</v>
      </c>
      <c r="D18" s="289">
        <f t="shared" ca="1" si="0"/>
        <v>2009</v>
      </c>
      <c r="E18" s="319">
        <v>0</v>
      </c>
      <c r="F18" s="320">
        <f t="shared" ca="1" si="0"/>
        <v>0</v>
      </c>
      <c r="G18" s="320">
        <f t="shared" ref="G18:G27" ca="1" si="1">+E18+F18</f>
        <v>0</v>
      </c>
      <c r="H18" s="321"/>
      <c r="I18" s="463">
        <f t="shared" ref="I18:I42" ca="1" si="2">INDIRECT("'"&amp; $A18 &amp; "'!" &amp;I$51)</f>
        <v>-22506.025054960046</v>
      </c>
      <c r="J18" s="290">
        <v>115516.88437424114</v>
      </c>
      <c r="K18" s="290">
        <f>J18/J$44*K$44</f>
        <v>127209.88976019942</v>
      </c>
      <c r="L18" s="319">
        <f t="shared" ref="L18:L27" si="3">+J18-K18</f>
        <v>-11693.005385958284</v>
      </c>
      <c r="M18" s="319"/>
      <c r="N18" s="320">
        <v>0</v>
      </c>
      <c r="O18" s="320">
        <v>0</v>
      </c>
      <c r="P18" s="320">
        <f t="shared" ref="P18:P26" si="4">+N18-O18</f>
        <v>0</v>
      </c>
      <c r="Q18" s="319">
        <f t="shared" ref="Q18:Q41" ca="1" si="5">+V18/$V$44 * $Q$44</f>
        <v>-3737.4496979331698</v>
      </c>
      <c r="R18" s="291">
        <f t="shared" ref="R18:R27" ca="1" si="6">I18+L18+P18+Q18</f>
        <v>-37936.480138851497</v>
      </c>
      <c r="S18" s="291"/>
      <c r="T18" s="292">
        <f t="shared" ref="T18:T27" ca="1" si="7">+G18+R18</f>
        <v>-37936.480138851497</v>
      </c>
      <c r="V18" s="355">
        <f t="shared" ref="V18:V27" ca="1" si="8">+I18+L18+P18</f>
        <v>-34199.03044091833</v>
      </c>
      <c r="W18" s="288" t="str">
        <f>A18</f>
        <v>P.001</v>
      </c>
    </row>
    <row r="19" spans="1:23" ht="25.5">
      <c r="A19" s="287" t="s">
        <v>180</v>
      </c>
      <c r="B19" s="287" t="s">
        <v>117</v>
      </c>
      <c r="C19" s="298" t="str">
        <f t="shared" ca="1" si="0"/>
        <v>Craig Jct. to Broken Bow Dam 138 Rebuild (7.7mi)</v>
      </c>
      <c r="D19" s="289">
        <f t="shared" ca="1" si="0"/>
        <v>2009</v>
      </c>
      <c r="E19" s="319">
        <v>0</v>
      </c>
      <c r="F19" s="320">
        <f t="shared" ca="1" si="0"/>
        <v>0</v>
      </c>
      <c r="G19" s="320">
        <f t="shared" ca="1" si="1"/>
        <v>0</v>
      </c>
      <c r="H19" s="321"/>
      <c r="I19" s="463">
        <f t="shared" ca="1" si="2"/>
        <v>-112615.75143827073</v>
      </c>
      <c r="J19" s="290">
        <v>602470.09178207489</v>
      </c>
      <c r="K19" s="290">
        <f t="shared" ref="K19:K42" si="9">J19/J$44*K$44</f>
        <v>663454.12945109524</v>
      </c>
      <c r="L19" s="319">
        <f t="shared" si="3"/>
        <v>-60984.037669020356</v>
      </c>
      <c r="M19" s="319"/>
      <c r="N19" s="320">
        <v>0</v>
      </c>
      <c r="O19" s="320">
        <v>0</v>
      </c>
      <c r="P19" s="320">
        <f t="shared" si="4"/>
        <v>0</v>
      </c>
      <c r="Q19" s="319">
        <f t="shared" ca="1" si="5"/>
        <v>-18971.89689284316</v>
      </c>
      <c r="R19" s="291">
        <f t="shared" ca="1" si="6"/>
        <v>-192571.68600013424</v>
      </c>
      <c r="S19" s="291"/>
      <c r="T19" s="293">
        <f t="shared" ca="1" si="7"/>
        <v>-192571.68600013424</v>
      </c>
      <c r="V19" s="355">
        <f t="shared" ca="1" si="8"/>
        <v>-173599.78910729109</v>
      </c>
      <c r="W19" s="288" t="str">
        <f t="shared" ref="W19:W25" si="10">A19</f>
        <v>P.002</v>
      </c>
    </row>
    <row r="20" spans="1:23" ht="25.5">
      <c r="A20" s="287" t="s">
        <v>181</v>
      </c>
      <c r="B20" s="287" t="s">
        <v>117</v>
      </c>
      <c r="C20" s="299" t="str">
        <f t="shared" ca="1" si="0"/>
        <v>WFEC New 138 kV Ties: Sayre to Erick (WFEC) Line &amp; Atoka and Tupelo station work</v>
      </c>
      <c r="D20" s="289">
        <f t="shared" ca="1" si="0"/>
        <v>2009</v>
      </c>
      <c r="E20" s="319">
        <v>0</v>
      </c>
      <c r="F20" s="320">
        <f t="shared" ca="1" si="0"/>
        <v>0</v>
      </c>
      <c r="G20" s="320">
        <f t="shared" ca="1" si="1"/>
        <v>0</v>
      </c>
      <c r="H20" s="321"/>
      <c r="I20" s="463">
        <f t="shared" ca="1" si="2"/>
        <v>-282188.61534289015</v>
      </c>
      <c r="J20" s="290">
        <v>1479501.3168344374</v>
      </c>
      <c r="K20" s="290">
        <f t="shared" si="9"/>
        <v>1629261.3883598351</v>
      </c>
      <c r="L20" s="319">
        <f t="shared" si="3"/>
        <v>-149760.07152539771</v>
      </c>
      <c r="M20" s="319"/>
      <c r="N20" s="320">
        <v>0</v>
      </c>
      <c r="O20" s="320">
        <v>0</v>
      </c>
      <c r="P20" s="320">
        <f t="shared" si="4"/>
        <v>0</v>
      </c>
      <c r="Q20" s="319">
        <f t="shared" ca="1" si="5"/>
        <v>-47205.621575953701</v>
      </c>
      <c r="R20" s="291">
        <f t="shared" ca="1" si="6"/>
        <v>-479154.30844424153</v>
      </c>
      <c r="S20" s="291"/>
      <c r="T20" s="293">
        <f t="shared" ca="1" si="7"/>
        <v>-479154.30844424153</v>
      </c>
      <c r="V20" s="355">
        <f t="shared" ca="1" si="8"/>
        <v>-431948.68686828786</v>
      </c>
      <c r="W20" s="288" t="str">
        <f t="shared" si="10"/>
        <v>P.003</v>
      </c>
    </row>
    <row r="21" spans="1:23" ht="25.5">
      <c r="A21" s="287" t="s">
        <v>182</v>
      </c>
      <c r="B21" s="287" t="s">
        <v>117</v>
      </c>
      <c r="C21" s="299" t="str">
        <f t="shared" ca="1" si="0"/>
        <v>Cache-Snyder to Altus Jct. 138 kV line (w/2 ring bus stations)</v>
      </c>
      <c r="D21" s="289">
        <f t="shared" ca="1" si="0"/>
        <v>2008</v>
      </c>
      <c r="E21" s="319">
        <v>0</v>
      </c>
      <c r="F21" s="320">
        <f t="shared" ca="1" si="0"/>
        <v>0</v>
      </c>
      <c r="G21" s="320">
        <f t="shared" ca="1" si="1"/>
        <v>0</v>
      </c>
      <c r="H21" s="321"/>
      <c r="I21" s="463">
        <f t="shared" ca="1" si="2"/>
        <v>-365097.91111111105</v>
      </c>
      <c r="J21" s="290">
        <v>1844108.8417033765</v>
      </c>
      <c r="K21" s="290">
        <f t="shared" si="9"/>
        <v>2030775.7063365367</v>
      </c>
      <c r="L21" s="319">
        <f t="shared" si="3"/>
        <v>-186666.86463316018</v>
      </c>
      <c r="M21" s="319"/>
      <c r="N21" s="320">
        <v>0</v>
      </c>
      <c r="O21" s="320">
        <v>0</v>
      </c>
      <c r="P21" s="320">
        <f t="shared" si="4"/>
        <v>0</v>
      </c>
      <c r="Q21" s="319">
        <f t="shared" ca="1" si="5"/>
        <v>-60299.753175698941</v>
      </c>
      <c r="R21" s="291">
        <f t="shared" ca="1" si="6"/>
        <v>-612064.52891997015</v>
      </c>
      <c r="S21" s="291"/>
      <c r="T21" s="293">
        <f t="shared" ca="1" si="7"/>
        <v>-612064.52891997015</v>
      </c>
      <c r="V21" s="355">
        <f t="shared" ca="1" si="8"/>
        <v>-551764.77574427123</v>
      </c>
      <c r="W21" s="288" t="str">
        <f t="shared" si="10"/>
        <v>P.004</v>
      </c>
    </row>
    <row r="22" spans="1:23">
      <c r="A22" s="352" t="s">
        <v>183</v>
      </c>
      <c r="B22" s="287" t="s">
        <v>117</v>
      </c>
      <c r="C22" s="299" t="str">
        <f t="shared" ca="1" si="0"/>
        <v>Catoosa 138 kV Device (Cap. Bank)</v>
      </c>
      <c r="D22" s="289">
        <f t="shared" ca="1" si="0"/>
        <v>2006</v>
      </c>
      <c r="E22" s="319">
        <v>0</v>
      </c>
      <c r="F22" s="320">
        <f t="shared" ca="1" si="0"/>
        <v>0</v>
      </c>
      <c r="G22" s="320">
        <f t="shared" ca="1" si="1"/>
        <v>0</v>
      </c>
      <c r="H22" s="321"/>
      <c r="I22" s="463">
        <f t="shared" ca="1" si="2"/>
        <v>-8788.9705891878475</v>
      </c>
      <c r="J22" s="290">
        <v>47099.676426996062</v>
      </c>
      <c r="K22" s="290">
        <f t="shared" si="9"/>
        <v>51867.263201181653</v>
      </c>
      <c r="L22" s="319">
        <f t="shared" si="3"/>
        <v>-4767.5867741855909</v>
      </c>
      <c r="M22" s="319"/>
      <c r="N22" s="320">
        <v>0</v>
      </c>
      <c r="O22" s="320">
        <v>0</v>
      </c>
      <c r="P22" s="320">
        <f t="shared" si="4"/>
        <v>0</v>
      </c>
      <c r="Q22" s="319">
        <f t="shared" ca="1" si="5"/>
        <v>-1481.5318027885357</v>
      </c>
      <c r="R22" s="291">
        <f t="shared" ca="1" si="6"/>
        <v>-15038.089166161973</v>
      </c>
      <c r="S22" s="291"/>
      <c r="T22" s="293">
        <f t="shared" ca="1" si="7"/>
        <v>-15038.089166161973</v>
      </c>
      <c r="V22" s="355">
        <f t="shared" ca="1" si="8"/>
        <v>-13556.557363373438</v>
      </c>
      <c r="W22" s="288" t="str">
        <f t="shared" si="10"/>
        <v>P.005</v>
      </c>
    </row>
    <row r="23" spans="1:23">
      <c r="A23" s="287" t="s">
        <v>184</v>
      </c>
      <c r="B23" s="287" t="s">
        <v>117</v>
      </c>
      <c r="C23" s="299" t="str">
        <f t="shared" ca="1" si="0"/>
        <v>Pryor Junction 138/69 Upgrade Transf</v>
      </c>
      <c r="D23" s="289">
        <f t="shared" ca="1" si="0"/>
        <v>2008</v>
      </c>
      <c r="E23" s="319">
        <v>0</v>
      </c>
      <c r="F23" s="320">
        <f t="shared" ca="1" si="0"/>
        <v>0</v>
      </c>
      <c r="G23" s="320">
        <f t="shared" ca="1" si="1"/>
        <v>0</v>
      </c>
      <c r="H23" s="321"/>
      <c r="I23" s="463">
        <f t="shared" ca="1" si="2"/>
        <v>-36428.466276008985</v>
      </c>
      <c r="J23" s="290">
        <v>191860.01984004432</v>
      </c>
      <c r="K23" s="290">
        <f t="shared" si="9"/>
        <v>211280.7327297001</v>
      </c>
      <c r="L23" s="319">
        <f t="shared" si="3"/>
        <v>-19420.712889655784</v>
      </c>
      <c r="M23" s="319"/>
      <c r="N23" s="320">
        <v>0</v>
      </c>
      <c r="O23" s="320">
        <v>0</v>
      </c>
      <c r="P23" s="320">
        <f t="shared" si="4"/>
        <v>0</v>
      </c>
      <c r="Q23" s="319">
        <f t="shared" ca="1" si="5"/>
        <v>-6103.4916812373895</v>
      </c>
      <c r="R23" s="291">
        <f t="shared" ca="1" si="6"/>
        <v>-61952.670846902161</v>
      </c>
      <c r="S23" s="291"/>
      <c r="T23" s="293">
        <f t="shared" ca="1" si="7"/>
        <v>-61952.670846902161</v>
      </c>
      <c r="V23" s="355">
        <f t="shared" ca="1" si="8"/>
        <v>-55849.179165664769</v>
      </c>
      <c r="W23" s="288" t="str">
        <f t="shared" si="10"/>
        <v>P.006</v>
      </c>
    </row>
    <row r="24" spans="1:23">
      <c r="A24" s="287" t="s">
        <v>185</v>
      </c>
      <c r="B24" s="287" t="s">
        <v>117</v>
      </c>
      <c r="C24" s="299" t="str">
        <f t="shared" ca="1" si="0"/>
        <v>Elk City - Elk City 69 kV line (CT Upgrades)*</v>
      </c>
      <c r="D24" s="289">
        <f t="shared" ca="1" si="0"/>
        <v>2007</v>
      </c>
      <c r="E24" s="319">
        <v>0</v>
      </c>
      <c r="F24" s="320">
        <f t="shared" ca="1" si="0"/>
        <v>0</v>
      </c>
      <c r="G24" s="320">
        <f t="shared" ca="1" si="1"/>
        <v>0</v>
      </c>
      <c r="H24" s="321"/>
      <c r="I24" s="463">
        <f t="shared" ca="1" si="2"/>
        <v>-2028.5160823105653</v>
      </c>
      <c r="J24" s="290">
        <v>10594.136255952555</v>
      </c>
      <c r="K24" s="290">
        <f t="shared" si="9"/>
        <v>11666.510160178563</v>
      </c>
      <c r="L24" s="319">
        <f t="shared" si="3"/>
        <v>-1072.3739042260077</v>
      </c>
      <c r="M24" s="319"/>
      <c r="N24" s="320">
        <v>0</v>
      </c>
      <c r="O24" s="320">
        <v>0</v>
      </c>
      <c r="P24" s="320">
        <f t="shared" si="4"/>
        <v>0</v>
      </c>
      <c r="Q24" s="319">
        <f t="shared" ca="1" si="5"/>
        <v>-338.8815470522415</v>
      </c>
      <c r="R24" s="291">
        <f t="shared" ca="1" si="6"/>
        <v>-3439.7715335888142</v>
      </c>
      <c r="S24" s="359" t="s">
        <v>224</v>
      </c>
      <c r="T24" s="293">
        <f t="shared" ca="1" si="7"/>
        <v>-3439.7715335888142</v>
      </c>
      <c r="V24" s="355">
        <f t="shared" ca="1" si="8"/>
        <v>-3100.8899865365729</v>
      </c>
      <c r="W24" s="288" t="str">
        <f t="shared" si="10"/>
        <v>P.007</v>
      </c>
    </row>
    <row r="25" spans="1:23" ht="25.5">
      <c r="A25" s="287" t="s">
        <v>186</v>
      </c>
      <c r="B25" s="287" t="s">
        <v>117</v>
      </c>
      <c r="C25" s="299" t="str">
        <f t="shared" ca="1" si="0"/>
        <v>Weleetka &amp; Okmulgee Wavetrap replacement 81-805*</v>
      </c>
      <c r="D25" s="289">
        <f t="shared" ca="1" si="0"/>
        <v>2006</v>
      </c>
      <c r="E25" s="319">
        <v>0</v>
      </c>
      <c r="F25" s="320">
        <f t="shared" ca="1" si="0"/>
        <v>0</v>
      </c>
      <c r="G25" s="320">
        <f t="shared" ca="1" si="1"/>
        <v>0</v>
      </c>
      <c r="H25" s="321"/>
      <c r="I25" s="463">
        <f t="shared" ca="1" si="2"/>
        <v>-1220.3134300758547</v>
      </c>
      <c r="J25" s="290">
        <v>6860.8649194930222</v>
      </c>
      <c r="K25" s="290">
        <f t="shared" si="9"/>
        <v>7555.3446130074462</v>
      </c>
      <c r="L25" s="319">
        <f t="shared" si="3"/>
        <v>-694.47969351442407</v>
      </c>
      <c r="M25" s="319"/>
      <c r="N25" s="320">
        <v>0</v>
      </c>
      <c r="O25" s="320">
        <v>0</v>
      </c>
      <c r="P25" s="320">
        <f t="shared" si="4"/>
        <v>0</v>
      </c>
      <c r="Q25" s="319">
        <f t="shared" ca="1" si="5"/>
        <v>-209.25865116937595</v>
      </c>
      <c r="R25" s="291">
        <f t="shared" ca="1" si="6"/>
        <v>-2124.0517747596546</v>
      </c>
      <c r="S25" s="359" t="s">
        <v>224</v>
      </c>
      <c r="T25" s="293">
        <f t="shared" ca="1" si="7"/>
        <v>-2124.0517747596546</v>
      </c>
      <c r="V25" s="355">
        <f ca="1">+I25+L25+P25</f>
        <v>-1914.7931235902788</v>
      </c>
      <c r="W25" s="288" t="str">
        <f t="shared" si="10"/>
        <v>P.008</v>
      </c>
    </row>
    <row r="26" spans="1:23">
      <c r="A26" s="287" t="s">
        <v>187</v>
      </c>
      <c r="B26" s="287" t="s">
        <v>117</v>
      </c>
      <c r="C26" s="299" t="str">
        <f t="shared" ca="1" si="0"/>
        <v>Tulsa Southeast Upgrade (repl switches)*</v>
      </c>
      <c r="D26" s="289">
        <f t="shared" ca="1" si="0"/>
        <v>2007</v>
      </c>
      <c r="E26" s="319">
        <v>0</v>
      </c>
      <c r="F26" s="320">
        <f t="shared" ca="1" si="0"/>
        <v>0</v>
      </c>
      <c r="G26" s="320">
        <f t="shared" ca="1" si="1"/>
        <v>0</v>
      </c>
      <c r="H26" s="321"/>
      <c r="I26" s="463">
        <f t="shared" ca="1" si="2"/>
        <v>-1626.4766214356086</v>
      </c>
      <c r="J26" s="290">
        <v>9047.7948835900897</v>
      </c>
      <c r="K26" s="290">
        <f t="shared" si="9"/>
        <v>9963.6429423216323</v>
      </c>
      <c r="L26" s="319">
        <f t="shared" si="3"/>
        <v>-915.84805873154255</v>
      </c>
      <c r="M26" s="319"/>
      <c r="N26" s="320">
        <v>0</v>
      </c>
      <c r="O26" s="320">
        <v>0</v>
      </c>
      <c r="P26" s="320">
        <f t="shared" si="4"/>
        <v>0</v>
      </c>
      <c r="Q26" s="319">
        <f t="shared" ca="1" si="5"/>
        <v>-277.83859616587466</v>
      </c>
      <c r="R26" s="291">
        <f t="shared" ca="1" si="6"/>
        <v>-2820.1632763330258</v>
      </c>
      <c r="S26" s="359" t="s">
        <v>224</v>
      </c>
      <c r="T26" s="293">
        <f t="shared" ca="1" si="7"/>
        <v>-2820.1632763330258</v>
      </c>
      <c r="V26" s="355">
        <f t="shared" ca="1" si="8"/>
        <v>-2542.3246801671512</v>
      </c>
      <c r="W26" s="288" t="str">
        <f t="shared" ref="W26:W31" si="11">A26</f>
        <v>P.009</v>
      </c>
    </row>
    <row r="27" spans="1:23">
      <c r="A27" s="287" t="s">
        <v>222</v>
      </c>
      <c r="B27" s="287" t="s">
        <v>117</v>
      </c>
      <c r="C27" s="300" t="str">
        <f t="shared" ca="1" si="0"/>
        <v>Wavetrap Clinton City-Foss Tap 69kV Ckt 1*</v>
      </c>
      <c r="D27" s="289">
        <f t="shared" ca="1" si="0"/>
        <v>2010</v>
      </c>
      <c r="E27" s="319">
        <v>0</v>
      </c>
      <c r="F27" s="320">
        <f t="shared" ca="1" si="0"/>
        <v>0</v>
      </c>
      <c r="G27" s="320">
        <f t="shared" ca="1" si="1"/>
        <v>0</v>
      </c>
      <c r="H27" s="321"/>
      <c r="I27" s="463">
        <f t="shared" ca="1" si="2"/>
        <v>-2394.9432679785914</v>
      </c>
      <c r="J27" s="290">
        <v>12668.616208157249</v>
      </c>
      <c r="K27" s="290">
        <f t="shared" si="9"/>
        <v>13950.975911304275</v>
      </c>
      <c r="L27" s="319">
        <f t="shared" si="3"/>
        <v>-1282.3597031470254</v>
      </c>
      <c r="M27" s="319"/>
      <c r="N27" s="320">
        <v>0</v>
      </c>
      <c r="O27" s="320">
        <v>0</v>
      </c>
      <c r="P27" s="320">
        <f t="shared" ref="P27:P33" si="12">+N27-O27</f>
        <v>0</v>
      </c>
      <c r="Q27" s="319">
        <f t="shared" ca="1" si="5"/>
        <v>-401.87498597030782</v>
      </c>
      <c r="R27" s="291">
        <f t="shared" ca="1" si="6"/>
        <v>-4079.1779570959247</v>
      </c>
      <c r="S27" s="291"/>
      <c r="T27" s="293">
        <f t="shared" ca="1" si="7"/>
        <v>-4079.1779570959247</v>
      </c>
      <c r="V27" s="355">
        <f t="shared" ca="1" si="8"/>
        <v>-3677.3029711256168</v>
      </c>
      <c r="W27" s="288" t="str">
        <f t="shared" si="11"/>
        <v>P.010</v>
      </c>
    </row>
    <row r="28" spans="1:23">
      <c r="A28" s="352" t="s">
        <v>230</v>
      </c>
      <c r="B28" s="287" t="s">
        <v>117</v>
      </c>
      <c r="C28" s="300" t="str">
        <f t="shared" ca="1" si="0"/>
        <v>Bartlesville SE to Coffeyville T Rebuild</v>
      </c>
      <c r="D28" s="289">
        <f t="shared" ca="1" si="0"/>
        <v>2011</v>
      </c>
      <c r="E28" s="319">
        <v>0</v>
      </c>
      <c r="F28" s="320">
        <f t="shared" ca="1" si="0"/>
        <v>0</v>
      </c>
      <c r="G28" s="320">
        <f t="shared" ref="G28:G33" ca="1" si="13">+E28+F28</f>
        <v>0</v>
      </c>
      <c r="H28" s="321"/>
      <c r="I28" s="463">
        <f t="shared" ca="1" si="2"/>
        <v>-36042.938271908177</v>
      </c>
      <c r="J28" s="290">
        <v>187484.87969248198</v>
      </c>
      <c r="K28" s="290">
        <f t="shared" si="9"/>
        <v>206462.72626361734</v>
      </c>
      <c r="L28" s="319">
        <f t="shared" ref="L28:L33" si="14">+J28-K28</f>
        <v>-18977.846571135364</v>
      </c>
      <c r="M28" s="319"/>
      <c r="N28" s="320">
        <v>0</v>
      </c>
      <c r="O28" s="320">
        <v>0</v>
      </c>
      <c r="P28" s="320">
        <f t="shared" si="12"/>
        <v>0</v>
      </c>
      <c r="Q28" s="319">
        <f t="shared" ca="1" si="5"/>
        <v>-6012.9603980128841</v>
      </c>
      <c r="R28" s="291">
        <f t="shared" ref="R28:R33" ca="1" si="15">I28+L28+P28+Q28</f>
        <v>-61033.745241056422</v>
      </c>
      <c r="S28" s="291"/>
      <c r="T28" s="293">
        <f t="shared" ref="T28:T33" ca="1" si="16">+G28+R28</f>
        <v>-61033.745241056422</v>
      </c>
      <c r="V28" s="355">
        <f t="shared" ref="V28:V33" ca="1" si="17">+I28+L28+P28</f>
        <v>-55020.784843043541</v>
      </c>
      <c r="W28" s="288" t="str">
        <f t="shared" si="11"/>
        <v>P.011</v>
      </c>
    </row>
    <row r="29" spans="1:23" ht="25.5">
      <c r="A29" s="352" t="s">
        <v>238</v>
      </c>
      <c r="B29" s="287" t="s">
        <v>117</v>
      </c>
      <c r="C29" s="300" t="str">
        <f t="shared" ca="1" si="0"/>
        <v>Canadian River - McAlester City 138 kV Line Conversion</v>
      </c>
      <c r="D29" s="289">
        <f t="shared" ca="1" si="0"/>
        <v>2012</v>
      </c>
      <c r="E29" s="319">
        <v>0</v>
      </c>
      <c r="F29" s="320">
        <f t="shared" ca="1" si="0"/>
        <v>0</v>
      </c>
      <c r="G29" s="320">
        <f t="shared" ca="1" si="13"/>
        <v>0</v>
      </c>
      <c r="H29" s="321"/>
      <c r="I29" s="463">
        <f t="shared" ca="1" si="2"/>
        <v>-89738.557988318731</v>
      </c>
      <c r="J29" s="290">
        <v>455629.23603599746</v>
      </c>
      <c r="K29" s="290">
        <f t="shared" si="9"/>
        <v>501749.55117286404</v>
      </c>
      <c r="L29" s="319">
        <f t="shared" si="14"/>
        <v>-46120.315136866586</v>
      </c>
      <c r="M29" s="319"/>
      <c r="N29" s="320">
        <v>0</v>
      </c>
      <c r="O29" s="320">
        <v>0</v>
      </c>
      <c r="P29" s="320">
        <f t="shared" si="12"/>
        <v>0</v>
      </c>
      <c r="Q29" s="319">
        <f t="shared" ca="1" si="5"/>
        <v>-14847.371337046299</v>
      </c>
      <c r="R29" s="291">
        <f t="shared" ca="1" si="15"/>
        <v>-150706.24446223161</v>
      </c>
      <c r="S29" s="291"/>
      <c r="T29" s="293">
        <f t="shared" ca="1" si="16"/>
        <v>-150706.24446223161</v>
      </c>
      <c r="V29" s="355">
        <f t="shared" ca="1" si="17"/>
        <v>-135858.87312518532</v>
      </c>
      <c r="W29" s="288" t="str">
        <f t="shared" si="11"/>
        <v>P.012</v>
      </c>
    </row>
    <row r="30" spans="1:23" ht="15.75" customHeight="1">
      <c r="A30" s="352" t="s">
        <v>240</v>
      </c>
      <c r="B30" s="287" t="s">
        <v>117</v>
      </c>
      <c r="C30" s="300" t="str">
        <f t="shared" ca="1" si="0"/>
        <v>CoffeyvilleT to Dearing 138 kv Rebuild - 1.1 mi*</v>
      </c>
      <c r="D30" s="289">
        <f t="shared" ca="1" si="0"/>
        <v>2010</v>
      </c>
      <c r="E30" s="319">
        <v>0</v>
      </c>
      <c r="F30" s="320">
        <f t="shared" ca="1" si="0"/>
        <v>0</v>
      </c>
      <c r="G30" s="320">
        <f t="shared" ca="1" si="13"/>
        <v>0</v>
      </c>
      <c r="H30" s="321"/>
      <c r="I30" s="463">
        <f t="shared" ca="1" si="2"/>
        <v>-584.74496475343722</v>
      </c>
      <c r="J30" s="290">
        <v>3014.3910061676193</v>
      </c>
      <c r="K30" s="290">
        <f t="shared" si="9"/>
        <v>3319.5177455307689</v>
      </c>
      <c r="L30" s="319">
        <f t="shared" si="14"/>
        <v>-305.12673936314968</v>
      </c>
      <c r="M30" s="319"/>
      <c r="N30" s="320">
        <v>0</v>
      </c>
      <c r="O30" s="320">
        <v>0</v>
      </c>
      <c r="P30" s="320">
        <f t="shared" si="12"/>
        <v>0</v>
      </c>
      <c r="Q30" s="319">
        <f t="shared" ca="1" si="5"/>
        <v>-97.249854421911081</v>
      </c>
      <c r="R30" s="291">
        <f t="shared" ca="1" si="15"/>
        <v>-987.12155853849799</v>
      </c>
      <c r="S30" s="291"/>
      <c r="T30" s="293">
        <f t="shared" ca="1" si="16"/>
        <v>-987.12155853849799</v>
      </c>
      <c r="V30" s="355">
        <f t="shared" ca="1" si="17"/>
        <v>-889.8717041165869</v>
      </c>
      <c r="W30" s="288" t="str">
        <f t="shared" si="11"/>
        <v>P.013</v>
      </c>
    </row>
    <row r="31" spans="1:23" ht="15.75" customHeight="1">
      <c r="A31" s="386" t="s">
        <v>243</v>
      </c>
      <c r="B31" s="287" t="s">
        <v>117</v>
      </c>
      <c r="C31" s="300" t="str">
        <f t="shared" ca="1" si="0"/>
        <v>Ashdown West - Craig Junction</v>
      </c>
      <c r="D31" s="289">
        <f t="shared" ca="1" si="0"/>
        <v>2013</v>
      </c>
      <c r="E31" s="319">
        <v>0</v>
      </c>
      <c r="F31" s="320">
        <f t="shared" ca="1" si="0"/>
        <v>0</v>
      </c>
      <c r="G31" s="320">
        <f t="shared" ca="1" si="13"/>
        <v>0</v>
      </c>
      <c r="H31" s="321"/>
      <c r="I31" s="463">
        <f t="shared" ca="1" si="2"/>
        <v>-17618.550343754774</v>
      </c>
      <c r="J31" s="290">
        <v>153879.16125379578</v>
      </c>
      <c r="K31" s="290">
        <f t="shared" si="9"/>
        <v>169455.32460925938</v>
      </c>
      <c r="L31" s="319">
        <f t="shared" si="14"/>
        <v>-15576.163355463592</v>
      </c>
      <c r="M31" s="319"/>
      <c r="N31" s="320">
        <v>0</v>
      </c>
      <c r="O31" s="320">
        <v>0</v>
      </c>
      <c r="P31" s="320">
        <f t="shared" si="12"/>
        <v>0</v>
      </c>
      <c r="Q31" s="319">
        <f t="shared" ca="1" si="5"/>
        <v>-3627.6926886115057</v>
      </c>
      <c r="R31" s="291">
        <f t="shared" ca="1" si="15"/>
        <v>-36822.406387829869</v>
      </c>
      <c r="S31" s="291"/>
      <c r="T31" s="293">
        <f t="shared" ca="1" si="16"/>
        <v>-36822.406387829869</v>
      </c>
      <c r="V31" s="355">
        <f t="shared" ca="1" si="17"/>
        <v>-33194.713699218366</v>
      </c>
      <c r="W31" s="288" t="str">
        <f t="shared" si="11"/>
        <v>P.014</v>
      </c>
    </row>
    <row r="32" spans="1:23" ht="25.5" customHeight="1">
      <c r="A32" s="386" t="s">
        <v>256</v>
      </c>
      <c r="B32" s="287" t="s">
        <v>117</v>
      </c>
      <c r="C32" s="300" t="str">
        <f t="shared" ca="1" si="0"/>
        <v>Locust Grove to Lone Star 115 kV Rebuild 2.1 miles</v>
      </c>
      <c r="D32" s="289">
        <f t="shared" ca="1" si="0"/>
        <v>2014</v>
      </c>
      <c r="E32" s="319">
        <v>0</v>
      </c>
      <c r="F32" s="320">
        <f t="shared" ca="1" si="0"/>
        <v>0</v>
      </c>
      <c r="G32" s="320">
        <f t="shared" ca="1" si="13"/>
        <v>0</v>
      </c>
      <c r="H32" s="321"/>
      <c r="I32" s="463">
        <f t="shared" ca="1" si="2"/>
        <v>-61735.852779340115</v>
      </c>
      <c r="J32" s="290">
        <v>316272.79260298092</v>
      </c>
      <c r="K32" s="290">
        <f t="shared" si="9"/>
        <v>348286.98245385761</v>
      </c>
      <c r="L32" s="319">
        <f t="shared" si="14"/>
        <v>-32014.18985087669</v>
      </c>
      <c r="M32" s="319"/>
      <c r="N32" s="320">
        <v>0</v>
      </c>
      <c r="O32" s="320">
        <v>0</v>
      </c>
      <c r="P32" s="320">
        <f t="shared" si="12"/>
        <v>0</v>
      </c>
      <c r="Q32" s="319">
        <f t="shared" ca="1" si="5"/>
        <v>-10245.497138138073</v>
      </c>
      <c r="R32" s="291">
        <f t="shared" ca="1" si="15"/>
        <v>-103995.53976835488</v>
      </c>
      <c r="S32" s="291"/>
      <c r="T32" s="293">
        <f t="shared" ca="1" si="16"/>
        <v>-103995.53976835488</v>
      </c>
      <c r="V32" s="355">
        <f t="shared" ca="1" si="17"/>
        <v>-93750.042630216805</v>
      </c>
      <c r="W32" s="288" t="str">
        <f t="shared" ref="W32:W39" si="18">A32</f>
        <v>P.015</v>
      </c>
    </row>
    <row r="33" spans="1:23" ht="15.75" customHeight="1">
      <c r="A33" s="386" t="s">
        <v>257</v>
      </c>
      <c r="B33" s="287" t="s">
        <v>117</v>
      </c>
      <c r="C33" s="300" t="str">
        <f t="shared" ca="1" si="0"/>
        <v>Cornville Station Conversion</v>
      </c>
      <c r="D33" s="289">
        <f t="shared" ca="1" si="0"/>
        <v>2014</v>
      </c>
      <c r="E33" s="319">
        <v>0</v>
      </c>
      <c r="F33" s="320">
        <f t="shared" ca="1" si="0"/>
        <v>0</v>
      </c>
      <c r="G33" s="320">
        <f t="shared" ca="1" si="13"/>
        <v>0</v>
      </c>
      <c r="H33" s="321"/>
      <c r="I33" s="463">
        <f t="shared" ca="1" si="2"/>
        <v>-141271.36365005036</v>
      </c>
      <c r="J33" s="290">
        <v>722105.79100204678</v>
      </c>
      <c r="K33" s="290">
        <f t="shared" si="9"/>
        <v>795199.75427120691</v>
      </c>
      <c r="L33" s="319">
        <f t="shared" si="14"/>
        <v>-73093.963269160129</v>
      </c>
      <c r="M33" s="319"/>
      <c r="N33" s="320">
        <v>0</v>
      </c>
      <c r="O33" s="320">
        <v>0</v>
      </c>
      <c r="P33" s="320">
        <f t="shared" si="12"/>
        <v>0</v>
      </c>
      <c r="Q33" s="319">
        <f t="shared" ca="1" si="5"/>
        <v>-23426.969010880381</v>
      </c>
      <c r="R33" s="291">
        <f t="shared" ca="1" si="15"/>
        <v>-237792.29593009088</v>
      </c>
      <c r="S33" s="291"/>
      <c r="T33" s="293">
        <f t="shared" ca="1" si="16"/>
        <v>-237792.29593009088</v>
      </c>
      <c r="V33" s="355">
        <f t="shared" ca="1" si="17"/>
        <v>-214365.32691921049</v>
      </c>
      <c r="W33" s="288" t="str">
        <f t="shared" si="18"/>
        <v>P.016</v>
      </c>
    </row>
    <row r="34" spans="1:23">
      <c r="A34" s="386" t="s">
        <v>267</v>
      </c>
      <c r="B34" s="287" t="s">
        <v>117</v>
      </c>
      <c r="C34" s="300" t="str">
        <f t="shared" ca="1" si="0"/>
        <v>Grady Customer Connection</v>
      </c>
      <c r="D34" s="289">
        <f t="shared" ca="1" si="0"/>
        <v>2015</v>
      </c>
      <c r="E34" s="319">
        <v>0</v>
      </c>
      <c r="F34" s="320">
        <f t="shared" ca="1" si="0"/>
        <v>0</v>
      </c>
      <c r="G34" s="320">
        <f t="shared" ref="G34:G39" ca="1" si="19">+E34+F34</f>
        <v>0</v>
      </c>
      <c r="H34" s="321"/>
      <c r="I34" s="463">
        <f t="shared" ca="1" si="2"/>
        <v>-48296.684740654135</v>
      </c>
      <c r="J34" s="290">
        <v>240995.59805125374</v>
      </c>
      <c r="K34" s="290">
        <f t="shared" si="9"/>
        <v>265389.97850282618</v>
      </c>
      <c r="L34" s="319">
        <f t="shared" ref="L34:L39" si="20">+J34-K34</f>
        <v>-24394.380451572448</v>
      </c>
      <c r="M34" s="319"/>
      <c r="N34" s="320">
        <v>0</v>
      </c>
      <c r="O34" s="320">
        <v>0</v>
      </c>
      <c r="P34" s="320">
        <f t="shared" ref="P34:P39" si="21">+N34-O34</f>
        <v>0</v>
      </c>
      <c r="Q34" s="319">
        <f t="shared" ca="1" si="5"/>
        <v>-7944.0614585397689</v>
      </c>
      <c r="R34" s="291">
        <f t="shared" ref="R34:R39" ca="1" si="22">I34+L34+P34+Q34</f>
        <v>-80635.126650766353</v>
      </c>
      <c r="S34" s="291"/>
      <c r="T34" s="293">
        <f t="shared" ref="T34:T39" ca="1" si="23">+G34+R34</f>
        <v>-80635.126650766353</v>
      </c>
      <c r="U34" s="7"/>
      <c r="V34" s="355">
        <f t="shared" ref="V34:V39" ca="1" si="24">+I34+L34+P34</f>
        <v>-72691.065192226582</v>
      </c>
      <c r="W34" s="288" t="str">
        <f t="shared" si="18"/>
        <v>P.017</v>
      </c>
    </row>
    <row r="35" spans="1:23">
      <c r="A35" s="386" t="s">
        <v>268</v>
      </c>
      <c r="B35" s="287" t="s">
        <v>117</v>
      </c>
      <c r="C35" s="300" t="str">
        <f t="shared" ca="1" si="0"/>
        <v>Darlington-Red Rock 138 kV line</v>
      </c>
      <c r="D35" s="289">
        <f t="shared" ca="1" si="0"/>
        <v>2014</v>
      </c>
      <c r="E35" s="319">
        <v>0</v>
      </c>
      <c r="F35" s="430">
        <f t="shared" ca="1" si="0"/>
        <v>0</v>
      </c>
      <c r="G35" s="430">
        <f t="shared" ca="1" si="19"/>
        <v>0</v>
      </c>
      <c r="H35" s="431"/>
      <c r="I35" s="463">
        <f t="shared" ca="1" si="2"/>
        <v>-45364.486882912606</v>
      </c>
      <c r="J35" s="290">
        <v>244915.0986335073</v>
      </c>
      <c r="K35" s="432">
        <f t="shared" si="9"/>
        <v>269706.22404289979</v>
      </c>
      <c r="L35" s="429">
        <f t="shared" si="20"/>
        <v>-24791.125409392494</v>
      </c>
      <c r="M35" s="429"/>
      <c r="N35" s="430">
        <v>0</v>
      </c>
      <c r="O35" s="430">
        <v>0</v>
      </c>
      <c r="P35" s="430">
        <f t="shared" si="21"/>
        <v>0</v>
      </c>
      <c r="Q35" s="429">
        <f t="shared" ca="1" si="5"/>
        <v>-7666.9738466173749</v>
      </c>
      <c r="R35" s="419">
        <f t="shared" ca="1" si="22"/>
        <v>-77822.586138922474</v>
      </c>
      <c r="S35" s="419"/>
      <c r="T35" s="421">
        <f t="shared" ca="1" si="23"/>
        <v>-77822.586138922474</v>
      </c>
      <c r="U35" s="7"/>
      <c r="V35" s="355">
        <f t="shared" ca="1" si="24"/>
        <v>-70155.612292305101</v>
      </c>
      <c r="W35" s="288" t="str">
        <f t="shared" si="18"/>
        <v>P.018</v>
      </c>
    </row>
    <row r="36" spans="1:23">
      <c r="A36" s="386" t="s">
        <v>275</v>
      </c>
      <c r="B36" s="287" t="s">
        <v>117</v>
      </c>
      <c r="C36" s="300" t="str">
        <f t="shared" ca="1" si="0"/>
        <v>Valliant-NW Texarkana 345 kV</v>
      </c>
      <c r="D36" s="289">
        <f t="shared" ca="1" si="0"/>
        <v>2017</v>
      </c>
      <c r="E36" s="319">
        <v>0</v>
      </c>
      <c r="F36" s="430">
        <f t="shared" ca="1" si="0"/>
        <v>0</v>
      </c>
      <c r="G36" s="430">
        <f t="shared" ca="1" si="19"/>
        <v>0</v>
      </c>
      <c r="H36" s="431"/>
      <c r="I36" s="463">
        <f t="shared" ca="1" si="2"/>
        <v>-41140.914743962756</v>
      </c>
      <c r="J36" s="290">
        <v>205998.2169756256</v>
      </c>
      <c r="K36" s="432">
        <f t="shared" si="9"/>
        <v>226850.04546495868</v>
      </c>
      <c r="L36" s="429">
        <f t="shared" si="20"/>
        <v>-20851.828489333071</v>
      </c>
      <c r="M36" s="429"/>
      <c r="N36" s="430">
        <v>0</v>
      </c>
      <c r="O36" s="430">
        <v>0</v>
      </c>
      <c r="P36" s="430">
        <f t="shared" si="21"/>
        <v>0</v>
      </c>
      <c r="Q36" s="429">
        <f t="shared" ca="1" si="5"/>
        <v>-6774.8926353804682</v>
      </c>
      <c r="R36" s="419">
        <f t="shared" ca="1" si="22"/>
        <v>-68767.635868676298</v>
      </c>
      <c r="S36" s="419"/>
      <c r="T36" s="421">
        <f t="shared" ca="1" si="23"/>
        <v>-68767.635868676298</v>
      </c>
      <c r="U36" s="7"/>
      <c r="V36" s="355">
        <f t="shared" ca="1" si="24"/>
        <v>-61992.743233295827</v>
      </c>
      <c r="W36" s="288" t="str">
        <f t="shared" si="18"/>
        <v>P.019</v>
      </c>
    </row>
    <row r="37" spans="1:23">
      <c r="A37" s="386" t="s">
        <v>276</v>
      </c>
      <c r="B37" s="287" t="s">
        <v>117</v>
      </c>
      <c r="C37" s="300" t="str">
        <f t="shared" ca="1" si="0"/>
        <v>Sayre 138 kV Capacitor Bank Addition</v>
      </c>
      <c r="D37" s="289">
        <f t="shared" ca="1" si="0"/>
        <v>2018</v>
      </c>
      <c r="E37" s="319">
        <v>0</v>
      </c>
      <c r="F37" s="320">
        <f t="shared" ca="1" si="0"/>
        <v>0</v>
      </c>
      <c r="G37" s="320">
        <f t="shared" ca="1" si="19"/>
        <v>0</v>
      </c>
      <c r="H37" s="321"/>
      <c r="I37" s="463">
        <f t="shared" ca="1" si="2"/>
        <v>-15390.802075635409</v>
      </c>
      <c r="J37" s="290">
        <v>87696.739331146033</v>
      </c>
      <c r="K37" s="432">
        <f t="shared" si="9"/>
        <v>96573.696590553649</v>
      </c>
      <c r="L37" s="429">
        <f t="shared" si="20"/>
        <v>-8876.9572594076162</v>
      </c>
      <c r="M37" s="429"/>
      <c r="N37" s="430">
        <v>0</v>
      </c>
      <c r="O37" s="430">
        <v>0</v>
      </c>
      <c r="P37" s="430">
        <f t="shared" si="21"/>
        <v>0</v>
      </c>
      <c r="Q37" s="429">
        <f t="shared" ca="1" si="5"/>
        <v>-2652.1082214000894</v>
      </c>
      <c r="R37" s="419">
        <f t="shared" ca="1" si="22"/>
        <v>-26919.867556443114</v>
      </c>
      <c r="S37" s="419"/>
      <c r="T37" s="421">
        <f t="shared" ca="1" si="23"/>
        <v>-26919.867556443114</v>
      </c>
      <c r="U37" s="7"/>
      <c r="V37" s="355">
        <f t="shared" ca="1" si="24"/>
        <v>-24267.759335043025</v>
      </c>
      <c r="W37" s="288" t="str">
        <f t="shared" si="18"/>
        <v>P.020</v>
      </c>
    </row>
    <row r="38" spans="1:23">
      <c r="A38" s="386" t="s">
        <v>277</v>
      </c>
      <c r="B38" s="287" t="s">
        <v>117</v>
      </c>
      <c r="C38" s="300" t="str">
        <f t="shared" ca="1" si="0"/>
        <v>Darlington-Roman Nose 138 kV</v>
      </c>
      <c r="D38" s="289">
        <f t="shared" ca="1" si="0"/>
        <v>2017</v>
      </c>
      <c r="E38" s="319">
        <v>0</v>
      </c>
      <c r="F38" s="320">
        <f t="shared" ca="1" si="0"/>
        <v>0</v>
      </c>
      <c r="G38" s="320">
        <f t="shared" ca="1" si="19"/>
        <v>0</v>
      </c>
      <c r="H38" s="321"/>
      <c r="I38" s="463">
        <f t="shared" ca="1" si="2"/>
        <v>416.0187867167042</v>
      </c>
      <c r="J38" s="290">
        <v>40500.711549338856</v>
      </c>
      <c r="K38" s="432">
        <f t="shared" si="9"/>
        <v>44600.329028176988</v>
      </c>
      <c r="L38" s="429">
        <f t="shared" si="20"/>
        <v>-4099.6174788381322</v>
      </c>
      <c r="M38" s="429"/>
      <c r="N38" s="430">
        <v>0</v>
      </c>
      <c r="O38" s="430">
        <v>0</v>
      </c>
      <c r="P38" s="430">
        <f t="shared" si="21"/>
        <v>0</v>
      </c>
      <c r="Q38" s="429">
        <f t="shared" ca="1" si="5"/>
        <v>-402.56301543285991</v>
      </c>
      <c r="R38" s="419">
        <f t="shared" ca="1" si="22"/>
        <v>-4086.1617075542881</v>
      </c>
      <c r="S38" s="419"/>
      <c r="T38" s="421">
        <f t="shared" ca="1" si="23"/>
        <v>-4086.1617075542881</v>
      </c>
      <c r="U38" s="7"/>
      <c r="V38" s="355">
        <f t="shared" ca="1" si="24"/>
        <v>-3683.598692121428</v>
      </c>
      <c r="W38" s="288" t="str">
        <f t="shared" si="18"/>
        <v>P.021</v>
      </c>
    </row>
    <row r="39" spans="1:23">
      <c r="A39" s="386" t="s">
        <v>278</v>
      </c>
      <c r="B39" s="287" t="s">
        <v>117</v>
      </c>
      <c r="C39" s="300" t="str">
        <f t="shared" ca="1" si="0"/>
        <v>Northeastern Station 138 kV Terminal Upgrades</v>
      </c>
      <c r="D39" s="289">
        <f t="shared" ca="1" si="0"/>
        <v>2018</v>
      </c>
      <c r="E39" s="319">
        <v>0</v>
      </c>
      <c r="F39" s="320">
        <f t="shared" ca="1" si="0"/>
        <v>0</v>
      </c>
      <c r="G39" s="320">
        <f t="shared" ca="1" si="19"/>
        <v>0</v>
      </c>
      <c r="H39" s="321"/>
      <c r="I39" s="463">
        <f t="shared" ca="1" si="2"/>
        <v>-6504.8373273374764</v>
      </c>
      <c r="J39" s="290">
        <v>19038.576480221469</v>
      </c>
      <c r="K39" s="432">
        <f t="shared" si="9"/>
        <v>20965.724866625227</v>
      </c>
      <c r="L39" s="429">
        <f t="shared" si="20"/>
        <v>-1927.1483864037582</v>
      </c>
      <c r="M39" s="429"/>
      <c r="N39" s="430">
        <v>0</v>
      </c>
      <c r="O39" s="430">
        <v>0</v>
      </c>
      <c r="P39" s="430">
        <f t="shared" si="21"/>
        <v>0</v>
      </c>
      <c r="Q39" s="429">
        <f t="shared" ca="1" si="5"/>
        <v>-921.49169296604032</v>
      </c>
      <c r="R39" s="419">
        <f t="shared" ca="1" si="22"/>
        <v>-9353.4774067072758</v>
      </c>
      <c r="S39" s="419"/>
      <c r="T39" s="421">
        <f t="shared" ca="1" si="23"/>
        <v>-9353.4774067072758</v>
      </c>
      <c r="U39" s="7"/>
      <c r="V39" s="355">
        <f t="shared" ca="1" si="24"/>
        <v>-8431.9857137412346</v>
      </c>
      <c r="W39" s="288" t="str">
        <f t="shared" si="18"/>
        <v>P.022</v>
      </c>
    </row>
    <row r="40" spans="1:23">
      <c r="A40" s="386" t="s">
        <v>310</v>
      </c>
      <c r="B40" s="287" t="s">
        <v>117</v>
      </c>
      <c r="C40" s="300" t="str">
        <f t="shared" ca="1" si="0"/>
        <v>Elk City 138KV Move Load</v>
      </c>
      <c r="D40" s="289">
        <f t="shared" ca="1" si="0"/>
        <v>2018</v>
      </c>
      <c r="E40" s="319">
        <v>0</v>
      </c>
      <c r="F40" s="320">
        <f t="shared" ca="1" si="0"/>
        <v>0</v>
      </c>
      <c r="G40" s="320">
        <f ca="1">+E40+F40</f>
        <v>0</v>
      </c>
      <c r="H40" s="321"/>
      <c r="I40" s="463">
        <f t="shared" ca="1" si="2"/>
        <v>-47400.003147565687</v>
      </c>
      <c r="J40" s="290">
        <v>138731.92205669577</v>
      </c>
      <c r="K40" s="432">
        <f t="shared" si="9"/>
        <v>152774.83120024446</v>
      </c>
      <c r="L40" s="429">
        <f>+J40-K40</f>
        <v>-14042.909143548692</v>
      </c>
      <c r="M40" s="429"/>
      <c r="N40" s="430">
        <v>0</v>
      </c>
      <c r="O40" s="430">
        <v>0</v>
      </c>
      <c r="P40" s="430">
        <f>+N40-O40</f>
        <v>0</v>
      </c>
      <c r="Q40" s="429">
        <f t="shared" ca="1" si="5"/>
        <v>-6714.8042216951599</v>
      </c>
      <c r="R40" s="419">
        <f ca="1">I40+L40+P40+Q40</f>
        <v>-68157.716512809537</v>
      </c>
      <c r="S40" s="419"/>
      <c r="T40" s="421">
        <f ca="1">+G40+R40</f>
        <v>-68157.716512809537</v>
      </c>
      <c r="U40" s="7"/>
      <c r="V40" s="355">
        <f ca="1">+I40+L40+P40</f>
        <v>-61442.912291114379</v>
      </c>
      <c r="W40" s="288" t="str">
        <f>A40</f>
        <v>P.023</v>
      </c>
    </row>
    <row r="41" spans="1:23">
      <c r="A41" s="386" t="s">
        <v>311</v>
      </c>
      <c r="B41" s="287" t="s">
        <v>117</v>
      </c>
      <c r="C41" s="300" t="str">
        <f t="shared" ca="1" si="0"/>
        <v>Duncan-Comanche Tap 69 KV Rebuild</v>
      </c>
      <c r="D41" s="289">
        <f t="shared" ca="1" si="0"/>
        <v>2018</v>
      </c>
      <c r="E41" s="319">
        <v>0</v>
      </c>
      <c r="F41" s="320">
        <f t="shared" ca="1" si="0"/>
        <v>0</v>
      </c>
      <c r="G41" s="320">
        <f ca="1">+E41+F41</f>
        <v>0</v>
      </c>
      <c r="H41" s="321"/>
      <c r="I41" s="463">
        <f t="shared" ca="1" si="2"/>
        <v>-27335.272836045813</v>
      </c>
      <c r="J41" s="290">
        <v>81460.13871045578</v>
      </c>
      <c r="K41" s="432">
        <f t="shared" si="9"/>
        <v>89705.806396543994</v>
      </c>
      <c r="L41" s="429">
        <f>+J41-K41</f>
        <v>-8245.6676860882144</v>
      </c>
      <c r="M41" s="429"/>
      <c r="N41" s="430">
        <v>0</v>
      </c>
      <c r="O41" s="430">
        <v>0</v>
      </c>
      <c r="P41" s="430">
        <f>+N41-O41</f>
        <v>0</v>
      </c>
      <c r="Q41" s="429">
        <f t="shared" ca="1" si="5"/>
        <v>-3888.4720909373536</v>
      </c>
      <c r="R41" s="419">
        <f ca="1">I41+L41+P41+Q41</f>
        <v>-39469.412613071385</v>
      </c>
      <c r="S41" s="419"/>
      <c r="T41" s="421">
        <f ca="1">+G41+R41</f>
        <v>-39469.412613071385</v>
      </c>
      <c r="U41" s="7"/>
      <c r="V41" s="355">
        <f ca="1">+I41+L41+P41</f>
        <v>-35580.940522134028</v>
      </c>
      <c r="W41" s="288" t="str">
        <f>A41</f>
        <v>P.024</v>
      </c>
    </row>
    <row r="42" spans="1:23">
      <c r="A42" s="386" t="s">
        <v>327</v>
      </c>
      <c r="B42" s="287" t="s">
        <v>117</v>
      </c>
      <c r="C42" s="300" t="str">
        <f t="shared" ca="1" si="0"/>
        <v>Fort Towson-Valliant Line Rebuild</v>
      </c>
      <c r="D42" s="289">
        <f t="shared" ca="1" si="0"/>
        <v>2018</v>
      </c>
      <c r="E42" s="429"/>
      <c r="F42" s="430">
        <f t="shared" ca="1" si="0"/>
        <v>0</v>
      </c>
      <c r="G42" s="430"/>
      <c r="H42" s="431"/>
      <c r="I42" s="463">
        <f t="shared" ca="1" si="2"/>
        <v>-65942.958696918096</v>
      </c>
      <c r="J42" s="290">
        <v>94880.774589956171</v>
      </c>
      <c r="K42" s="432">
        <f t="shared" si="9"/>
        <v>104484.92392547654</v>
      </c>
      <c r="L42" s="429">
        <f>+J42-K42</f>
        <v>-9604.1493355203711</v>
      </c>
      <c r="M42" s="429"/>
      <c r="N42" s="430">
        <v>0</v>
      </c>
      <c r="O42" s="430">
        <v>0</v>
      </c>
      <c r="P42" s="430">
        <f>+N42-O42</f>
        <v>0</v>
      </c>
      <c r="Q42" s="429">
        <f ca="1">+V42/$V$44 * $Q$44</f>
        <v>-8256.1848232320772</v>
      </c>
      <c r="R42" s="419">
        <f ca="1">I42+L42+P42+Q42</f>
        <v>-83803.292855670545</v>
      </c>
      <c r="S42" s="419"/>
      <c r="T42" s="421">
        <f ca="1">+G42+R42</f>
        <v>-83803.292855670545</v>
      </c>
      <c r="U42" s="7"/>
      <c r="V42" s="355">
        <f ca="1">+I42+L42+P42</f>
        <v>-75547.108032438467</v>
      </c>
      <c r="W42" s="288" t="str">
        <f>A42</f>
        <v>P.025</v>
      </c>
    </row>
    <row r="43" spans="1:23">
      <c r="A43" s="288"/>
      <c r="B43" s="288"/>
      <c r="C43" s="288"/>
      <c r="D43" s="287"/>
      <c r="E43" s="419"/>
      <c r="F43" s="419"/>
      <c r="G43" s="419"/>
      <c r="H43" s="291"/>
      <c r="I43" s="419"/>
      <c r="J43" s="419"/>
      <c r="K43" s="420"/>
      <c r="L43" s="419"/>
      <c r="M43" s="419"/>
      <c r="N43" s="419"/>
      <c r="O43" s="419"/>
      <c r="P43" s="419"/>
      <c r="Q43" s="419"/>
      <c r="R43" s="419"/>
      <c r="S43" s="291"/>
      <c r="T43" s="421"/>
      <c r="V43" s="326"/>
    </row>
    <row r="44" spans="1:23">
      <c r="A44" s="288"/>
      <c r="B44" s="288"/>
      <c r="C44" s="322" t="s">
        <v>177</v>
      </c>
      <c r="D44" s="287"/>
      <c r="E44" s="291">
        <f t="shared" ref="E44:J44" si="25">SUM(E18:E42)</f>
        <v>0</v>
      </c>
      <c r="F44" s="291">
        <f t="shared" ca="1" si="25"/>
        <v>0</v>
      </c>
      <c r="G44" s="291">
        <f t="shared" ca="1" si="25"/>
        <v>0</v>
      </c>
      <c r="H44" s="291">
        <f t="shared" si="25"/>
        <v>0</v>
      </c>
      <c r="I44" s="291">
        <f t="shared" ca="1" si="25"/>
        <v>-1478847.9388766706</v>
      </c>
      <c r="J44" s="291">
        <f t="shared" si="25"/>
        <v>7312332.2712000329</v>
      </c>
      <c r="K44" s="291">
        <v>8052511</v>
      </c>
      <c r="L44" s="291">
        <f>SUM(L18:L42)</f>
        <v>-740178.72879996721</v>
      </c>
      <c r="M44" s="291">
        <f>SUM(M18:M42)</f>
        <v>0</v>
      </c>
      <c r="N44" s="291">
        <f>SUM(N18:N42)</f>
        <v>0</v>
      </c>
      <c r="O44" s="291">
        <f>SUM(O18:O42)</f>
        <v>0</v>
      </c>
      <c r="P44" s="291">
        <f>SUM(P18:P42)</f>
        <v>0</v>
      </c>
      <c r="Q44" s="291">
        <v>-242506.89104012493</v>
      </c>
      <c r="R44" s="291">
        <f ca="1">SUM(R18:R42)</f>
        <v>-2461533.5587167623</v>
      </c>
      <c r="S44" s="291">
        <f>SUM(S18:S42)</f>
        <v>0</v>
      </c>
      <c r="T44" s="293">
        <f ca="1">SUM(T18:T42)</f>
        <v>-2461533.5587167623</v>
      </c>
      <c r="V44" s="293">
        <f ca="1">SUM(V18:V42)</f>
        <v>-2219026.6676766374</v>
      </c>
      <c r="W44" s="236" t="s">
        <v>270</v>
      </c>
    </row>
    <row r="45" spans="1:23" ht="13.5" thickBot="1">
      <c r="A45" s="288"/>
      <c r="B45" s="288"/>
      <c r="C45" s="294"/>
      <c r="D45" s="288"/>
      <c r="E45" s="458"/>
      <c r="F45" s="317" t="str">
        <f ca="1">IF(F44=PSO.WS.F.BPU.ATRR.Projected!O19,"","Error")</f>
        <v/>
      </c>
      <c r="G45" s="317"/>
      <c r="H45" s="288"/>
      <c r="I45" s="348" t="str">
        <f ca="1">IF(ROUND(I44,0)=ROUND('PSO.WS.G.BPU.ATRR.True-up'!N19,0),"","Error")</f>
        <v/>
      </c>
      <c r="J45" s="349"/>
      <c r="K45" s="378" t="str">
        <f>IF(K44=SUM(K18:K42),"","Error -- check allocations above).")</f>
        <v/>
      </c>
      <c r="L45" s="295"/>
      <c r="M45" s="295"/>
      <c r="N45" s="295"/>
      <c r="O45" s="295"/>
      <c r="P45" s="295"/>
      <c r="Q45" s="378" t="str">
        <f ca="1">IF(Q44=SUM(Q18:Q42),"","Error -- check allocations above).")</f>
        <v/>
      </c>
      <c r="R45" s="291"/>
      <c r="S45" s="291"/>
      <c r="T45" s="291"/>
      <c r="V45" s="344"/>
      <c r="W45" s="236"/>
    </row>
    <row r="46" spans="1:23">
      <c r="A46" s="288"/>
      <c r="B46" s="288"/>
      <c r="C46" s="296" t="s">
        <v>217</v>
      </c>
      <c r="D46" s="288"/>
      <c r="E46" s="291"/>
      <c r="F46" s="291"/>
      <c r="G46" s="291"/>
      <c r="H46" s="288"/>
      <c r="I46" s="350"/>
      <c r="J46" s="350"/>
      <c r="K46" s="288"/>
      <c r="L46" s="288"/>
      <c r="M46" s="288"/>
      <c r="N46" s="295"/>
      <c r="O46" s="295"/>
      <c r="P46" s="295"/>
      <c r="Q46" s="295"/>
      <c r="R46" s="291"/>
      <c r="S46" s="291"/>
      <c r="T46" s="291"/>
    </row>
    <row r="47" spans="1:23">
      <c r="A47" s="288"/>
      <c r="B47" s="288"/>
      <c r="C47" s="296"/>
      <c r="D47" s="288"/>
      <c r="E47" s="291"/>
      <c r="F47" s="291"/>
      <c r="G47" s="291"/>
      <c r="H47" s="288"/>
      <c r="I47" s="360"/>
      <c r="J47" s="297"/>
      <c r="K47" s="290"/>
      <c r="L47" s="288"/>
      <c r="M47" s="288"/>
      <c r="N47" s="295"/>
      <c r="O47" s="295"/>
      <c r="P47" s="295"/>
      <c r="Q47" s="295"/>
      <c r="R47" s="295"/>
      <c r="S47" s="288"/>
      <c r="T47" s="288"/>
    </row>
    <row r="48" spans="1:23">
      <c r="E48" s="10"/>
      <c r="F48" s="10"/>
      <c r="G48" s="10"/>
      <c r="I48" s="10"/>
      <c r="J48" s="342"/>
      <c r="N48" s="280"/>
      <c r="O48" s="280"/>
      <c r="P48" s="280"/>
      <c r="Q48" s="433"/>
      <c r="R48" s="280"/>
    </row>
    <row r="49" spans="1:22">
      <c r="E49" s="10"/>
      <c r="F49" s="10"/>
      <c r="G49" s="10"/>
    </row>
    <row r="50" spans="1:22">
      <c r="A50" s="302" t="s">
        <v>188</v>
      </c>
      <c r="B50" s="303"/>
      <c r="C50" s="303"/>
      <c r="D50" s="303"/>
      <c r="E50" s="304"/>
      <c r="F50" s="304"/>
      <c r="G50" s="304"/>
      <c r="H50" s="303"/>
      <c r="I50" s="303"/>
      <c r="J50" s="303"/>
      <c r="K50" s="303"/>
      <c r="L50" s="303"/>
      <c r="M50" s="303"/>
      <c r="N50" s="303"/>
      <c r="O50" s="234"/>
      <c r="V50" t="s">
        <v>201</v>
      </c>
    </row>
    <row r="51" spans="1:22" ht="15.75">
      <c r="A51" s="305" t="s">
        <v>191</v>
      </c>
      <c r="B51" s="7"/>
      <c r="C51" s="306" t="str">
        <f ca="1">RIGHT(CELL("address",P.001!D7),4)</f>
        <v>$D$7</v>
      </c>
      <c r="D51" s="306" t="str">
        <f ca="1">RIGHT(CELL("address",P.001!D11),4)</f>
        <v>D$11</v>
      </c>
      <c r="E51" s="306" t="str">
        <f ca="1">RIGHT(CELL("address",P.001!N5),4)</f>
        <v>$N$5</v>
      </c>
      <c r="F51" s="306" t="str">
        <f ca="1">RIGHT(CELL("address",P.001!N7),4)</f>
        <v>$N$7</v>
      </c>
      <c r="G51" s="7"/>
      <c r="H51" s="307"/>
      <c r="I51" s="306" t="str">
        <f ca="1">RIGHT(CELL("address",P.001!M89),4)</f>
        <v>M$89</v>
      </c>
      <c r="J51" s="306"/>
      <c r="K51" s="7"/>
      <c r="L51" s="7"/>
      <c r="M51" s="7"/>
      <c r="N51" s="306" t="str">
        <f ca="1">RIGHT(CELL("address",P.001!N87),4)</f>
        <v>N$87</v>
      </c>
      <c r="O51" s="308" t="str">
        <f ca="1">RIGHT(CELL("address",P.001!N88),4)</f>
        <v>N$88</v>
      </c>
      <c r="P51" s="49" t="s">
        <v>190</v>
      </c>
      <c r="V51" t="s">
        <v>202</v>
      </c>
    </row>
    <row r="52" spans="1:22">
      <c r="A52" s="309" t="s">
        <v>192</v>
      </c>
      <c r="B52" s="310"/>
      <c r="C52" s="310"/>
      <c r="D52" s="310"/>
      <c r="E52" s="279"/>
      <c r="F52" s="279"/>
      <c r="G52" s="279"/>
      <c r="H52" s="310"/>
      <c r="I52" s="310"/>
      <c r="J52" s="310"/>
      <c r="K52" s="310"/>
      <c r="L52" s="310"/>
      <c r="M52" s="310"/>
      <c r="N52" s="310"/>
      <c r="O52" s="311"/>
      <c r="V52" t="s">
        <v>203</v>
      </c>
    </row>
    <row r="53" spans="1:22">
      <c r="E53" s="10"/>
      <c r="F53" s="10"/>
      <c r="G53" s="10"/>
      <c r="V53" t="s">
        <v>204</v>
      </c>
    </row>
    <row r="54" spans="1:22">
      <c r="A54" s="1" t="s">
        <v>244</v>
      </c>
      <c r="B54" s="1" t="s">
        <v>245</v>
      </c>
      <c r="E54" s="10"/>
      <c r="F54" s="10"/>
      <c r="G54" s="10"/>
      <c r="V54" s="232" t="s">
        <v>225</v>
      </c>
    </row>
    <row r="55" spans="1:22">
      <c r="B55" s="1" t="s">
        <v>248</v>
      </c>
      <c r="E55" s="10"/>
      <c r="F55" s="10"/>
      <c r="G55" s="10"/>
    </row>
    <row r="56" spans="1:22">
      <c r="B56" s="1" t="s">
        <v>249</v>
      </c>
      <c r="E56" s="10"/>
      <c r="F56" s="10"/>
      <c r="G56" s="10"/>
    </row>
    <row r="57" spans="1:22">
      <c r="B57" s="1" t="s">
        <v>246</v>
      </c>
      <c r="E57" s="10"/>
      <c r="F57" s="10"/>
      <c r="G57" s="10"/>
    </row>
    <row r="58" spans="1:22">
      <c r="B58" s="1" t="s">
        <v>247</v>
      </c>
      <c r="E58" s="10"/>
      <c r="F58" s="10"/>
      <c r="G58" s="10"/>
      <c r="K58" s="343"/>
    </row>
    <row r="59" spans="1:22">
      <c r="B59" s="1" t="s">
        <v>250</v>
      </c>
      <c r="E59" s="10"/>
      <c r="F59" s="10"/>
      <c r="G59" s="10"/>
    </row>
    <row r="62" spans="1:22" ht="12.75" customHeight="1">
      <c r="E62" s="9" t="s">
        <v>331</v>
      </c>
      <c r="F62" s="9" t="s">
        <v>332</v>
      </c>
      <c r="G62" s="9" t="s">
        <v>333</v>
      </c>
      <c r="H62" s="9"/>
      <c r="I62" s="462"/>
      <c r="J62" s="462"/>
    </row>
    <row r="64" spans="1:22" ht="12.75" customHeight="1">
      <c r="E64" s="360">
        <v>108452.59046922832</v>
      </c>
      <c r="F64" s="360">
        <v>118612.83535736376</v>
      </c>
      <c r="G64" s="51">
        <f t="shared" ref="G64:G88" si="26">+E64-F64</f>
        <v>-10160.244888135436</v>
      </c>
      <c r="H64" s="51"/>
      <c r="I64" s="460"/>
      <c r="J64" s="461"/>
    </row>
    <row r="65" spans="5:10" ht="12.75" customHeight="1">
      <c r="E65" s="360">
        <v>563423.59576338867</v>
      </c>
      <c r="F65" s="360">
        <v>616009.3144662733</v>
      </c>
      <c r="G65" s="51">
        <f t="shared" si="26"/>
        <v>-52585.718702884624</v>
      </c>
      <c r="H65" s="51"/>
      <c r="I65" s="460"/>
      <c r="J65" s="461"/>
    </row>
    <row r="66" spans="5:10" ht="12.75" customHeight="1">
      <c r="E66" s="360">
        <v>1385898.5101974602</v>
      </c>
      <c r="F66" s="360">
        <v>1515588.4402280932</v>
      </c>
      <c r="G66" s="51">
        <f t="shared" si="26"/>
        <v>-129689.930030633</v>
      </c>
      <c r="H66" s="51"/>
      <c r="I66" s="460"/>
      <c r="J66" s="461"/>
    </row>
    <row r="67" spans="5:10" ht="12.75" customHeight="1">
      <c r="E67" s="360">
        <v>1732706.9557914322</v>
      </c>
      <c r="F67" s="360">
        <v>1895603.111111111</v>
      </c>
      <c r="G67" s="51">
        <f t="shared" si="26"/>
        <v>-162896.15531967883</v>
      </c>
      <c r="H67" s="51"/>
      <c r="I67" s="460"/>
      <c r="J67" s="461"/>
    </row>
    <row r="68" spans="5:10" ht="12.75" customHeight="1">
      <c r="E68" s="360">
        <v>44166.093531237391</v>
      </c>
      <c r="F68" s="360">
        <v>48199.620253747162</v>
      </c>
      <c r="G68" s="51">
        <f t="shared" si="26"/>
        <v>-4033.5267225097705</v>
      </c>
      <c r="H68" s="51"/>
      <c r="I68" s="460"/>
      <c r="J68" s="461"/>
    </row>
    <row r="69" spans="5:10" ht="12.75" customHeight="1">
      <c r="E69" s="360">
        <v>179869.75016192306</v>
      </c>
      <c r="F69" s="360">
        <v>196553.85018087178</v>
      </c>
      <c r="G69" s="51">
        <f t="shared" si="26"/>
        <v>-16684.100018948724</v>
      </c>
      <c r="H69" s="51"/>
      <c r="I69" s="460"/>
      <c r="J69" s="461"/>
    </row>
    <row r="70" spans="5:10" ht="12.75" customHeight="1">
      <c r="E70" s="360">
        <v>9943.4463018575989</v>
      </c>
      <c r="F70" s="360">
        <v>10864.165928547483</v>
      </c>
      <c r="G70" s="51">
        <f t="shared" si="26"/>
        <v>-920.71962668988454</v>
      </c>
      <c r="H70" s="51"/>
      <c r="I70" s="460"/>
      <c r="J70" s="461"/>
    </row>
    <row r="71" spans="5:10" ht="12.75" customHeight="1">
      <c r="E71" s="360">
        <v>6401.6194166931018</v>
      </c>
      <c r="F71" s="360">
        <v>6986.5540517513546</v>
      </c>
      <c r="G71" s="51">
        <f t="shared" si="26"/>
        <v>-584.93463505825275</v>
      </c>
      <c r="H71" s="51"/>
      <c r="I71" s="460"/>
      <c r="J71" s="461"/>
    </row>
    <row r="72" spans="5:10" ht="12.75" customHeight="1">
      <c r="E72" s="360">
        <v>8441.9635566451543</v>
      </c>
      <c r="F72" s="360">
        <v>9219.7957260985368</v>
      </c>
      <c r="G72" s="51">
        <f t="shared" si="26"/>
        <v>-777.83216945338245</v>
      </c>
      <c r="H72" s="51"/>
      <c r="I72" s="460"/>
      <c r="J72" s="461"/>
    </row>
    <row r="73" spans="5:10" ht="12.75" customHeight="1">
      <c r="E73" s="360">
        <v>11848.855149661711</v>
      </c>
      <c r="F73" s="360">
        <v>12963.911111111111</v>
      </c>
      <c r="G73" s="51">
        <f t="shared" si="26"/>
        <v>-1115.0559614493995</v>
      </c>
      <c r="H73" s="51"/>
      <c r="I73" s="460"/>
      <c r="J73" s="461"/>
    </row>
    <row r="74" spans="5:10" ht="12.75" customHeight="1">
      <c r="E74" s="360">
        <v>175500.68121965264</v>
      </c>
      <c r="F74" s="360">
        <v>192128.21377777777</v>
      </c>
      <c r="G74" s="51">
        <f t="shared" si="26"/>
        <v>-16627.532558125124</v>
      </c>
      <c r="H74" s="51"/>
      <c r="I74" s="460"/>
      <c r="J74" s="461"/>
    </row>
    <row r="75" spans="5:10" ht="12.75" customHeight="1">
      <c r="E75" s="360">
        <v>426952.93022607185</v>
      </c>
      <c r="F75" s="360">
        <v>467887.49199999997</v>
      </c>
      <c r="G75" s="51">
        <f t="shared" si="26"/>
        <v>-40934.561773928115</v>
      </c>
      <c r="H75" s="51"/>
      <c r="I75" s="460"/>
      <c r="J75" s="461"/>
    </row>
    <row r="76" spans="5:10" ht="12.75" customHeight="1">
      <c r="E76" s="360">
        <v>2821.8344922068077</v>
      </c>
      <c r="F76" s="360">
        <v>3091.0444444444443</v>
      </c>
      <c r="G76" s="51">
        <f t="shared" si="26"/>
        <v>-269.20995223763657</v>
      </c>
      <c r="H76" s="51"/>
      <c r="I76" s="460"/>
      <c r="J76" s="461"/>
    </row>
    <row r="77" spans="5:10" ht="12.75" customHeight="1">
      <c r="E77" s="360">
        <v>124772.2053766459</v>
      </c>
      <c r="F77" s="360">
        <v>136430.26666666666</v>
      </c>
      <c r="G77" s="51">
        <f t="shared" si="26"/>
        <v>-11658.061290020763</v>
      </c>
      <c r="H77" s="51"/>
      <c r="I77" s="460"/>
      <c r="J77" s="461"/>
    </row>
    <row r="78" spans="5:10" ht="12.75" customHeight="1">
      <c r="E78" s="360">
        <v>295431.5183187396</v>
      </c>
      <c r="F78" s="360">
        <v>323935.0793333333</v>
      </c>
      <c r="G78" s="51">
        <f t="shared" si="26"/>
        <v>-28503.561014593695</v>
      </c>
      <c r="H78" s="51"/>
      <c r="I78" s="460"/>
      <c r="J78" s="461"/>
    </row>
    <row r="79" spans="5:10" ht="12.75" customHeight="1">
      <c r="E79" s="360">
        <v>674633.13832799566</v>
      </c>
      <c r="F79" s="360">
        <v>740035.4</v>
      </c>
      <c r="G79" s="51">
        <f t="shared" si="26"/>
        <v>-65402.261672004359</v>
      </c>
      <c r="H79" s="51"/>
      <c r="I79" s="460"/>
      <c r="J79" s="461"/>
    </row>
    <row r="80" spans="5:10" ht="12.75" customHeight="1">
      <c r="E80" s="360">
        <v>229518.46356971579</v>
      </c>
      <c r="F80" s="360">
        <v>251897.51111111112</v>
      </c>
      <c r="G80" s="51">
        <f t="shared" si="26"/>
        <v>-22379.047541395325</v>
      </c>
      <c r="H80" s="51"/>
      <c r="I80" s="460"/>
      <c r="J80" s="461"/>
    </row>
    <row r="81" spans="5:10" ht="12.75" customHeight="1">
      <c r="E81" s="360">
        <v>227656.2696364547</v>
      </c>
      <c r="F81" s="360">
        <v>249645.70777777777</v>
      </c>
      <c r="G81" s="51">
        <f t="shared" si="26"/>
        <v>-21989.438141323073</v>
      </c>
      <c r="H81" s="51"/>
      <c r="I81" s="460"/>
      <c r="J81" s="461"/>
    </row>
    <row r="82" spans="5:10" ht="12.75" customHeight="1">
      <c r="E82" s="360">
        <v>185741.34290994913</v>
      </c>
      <c r="F82" s="360">
        <v>205998.2169756256</v>
      </c>
      <c r="G82" s="51">
        <f t="shared" si="26"/>
        <v>-20256.874065676471</v>
      </c>
      <c r="H82" s="51"/>
      <c r="I82" s="460"/>
      <c r="J82" s="461"/>
    </row>
    <row r="83" spans="5:10" ht="12.75" customHeight="1">
      <c r="E83" s="360">
        <v>78830.35648290487</v>
      </c>
      <c r="F83" s="360">
        <v>87696.739331146033</v>
      </c>
      <c r="G83" s="51">
        <f t="shared" si="26"/>
        <v>-8866.3828482411627</v>
      </c>
      <c r="H83" s="51"/>
      <c r="I83" s="460"/>
      <c r="J83" s="461"/>
    </row>
    <row r="84" spans="5:10" ht="12.75" customHeight="1">
      <c r="E84" s="360">
        <v>36514.867050668458</v>
      </c>
      <c r="F84" s="360">
        <v>40500.711549338856</v>
      </c>
      <c r="G84" s="51">
        <f t="shared" si="26"/>
        <v>-3985.844498670398</v>
      </c>
      <c r="H84" s="51"/>
      <c r="I84" s="460"/>
      <c r="J84" s="461"/>
    </row>
    <row r="85" spans="5:10" ht="12.75" customHeight="1">
      <c r="E85" s="360">
        <v>17161.945194330583</v>
      </c>
      <c r="F85" s="360">
        <v>19038.576480221469</v>
      </c>
      <c r="G85" s="51">
        <f t="shared" si="26"/>
        <v>-1876.6312858908859</v>
      </c>
      <c r="H85" s="51"/>
      <c r="I85" s="460"/>
      <c r="J85" s="461"/>
    </row>
    <row r="86" spans="5:10" ht="12.75" customHeight="1">
      <c r="E86" s="360">
        <v>125057.12522754009</v>
      </c>
      <c r="F86" s="360">
        <v>138731.92205669577</v>
      </c>
      <c r="G86" s="51">
        <f t="shared" si="26"/>
        <v>-13674.796829155675</v>
      </c>
      <c r="H86" s="51"/>
      <c r="I86" s="460"/>
      <c r="J86" s="461"/>
    </row>
    <row r="87" spans="5:10" ht="12.75" customHeight="1">
      <c r="E87" s="360">
        <v>73430.617962627584</v>
      </c>
      <c r="F87" s="360">
        <v>81460.13871045578</v>
      </c>
      <c r="G87" s="51">
        <f t="shared" si="26"/>
        <v>-8029.5207478281955</v>
      </c>
      <c r="H87" s="51"/>
      <c r="I87" s="460"/>
      <c r="J87" s="461"/>
    </row>
    <row r="88" spans="5:10" ht="12.75" customHeight="1">
      <c r="E88" s="360">
        <v>85528.382607811436</v>
      </c>
      <c r="F88" s="360">
        <v>94880.774589956171</v>
      </c>
      <c r="G88" s="51">
        <f t="shared" si="26"/>
        <v>-9352.3919821447344</v>
      </c>
      <c r="H88" s="51"/>
      <c r="I88" s="460"/>
      <c r="J88" s="461"/>
    </row>
    <row r="89" spans="5:10" ht="12.75" customHeight="1">
      <c r="E89" s="51"/>
      <c r="F89" s="51"/>
      <c r="H89" s="51"/>
      <c r="I89" s="51"/>
      <c r="J89" s="51"/>
    </row>
    <row r="90" spans="5:10" ht="12.75" customHeight="1">
      <c r="E90" s="51">
        <f>SUM(E64:E89)</f>
        <v>6810705.0589428414</v>
      </c>
      <c r="F90" s="51">
        <f>SUM(F64:F89)</f>
        <v>7463959.3932195175</v>
      </c>
      <c r="G90" s="51">
        <f>SUM(G64:G89)</f>
        <v>-653254.33427667688</v>
      </c>
      <c r="H90" s="51"/>
      <c r="I90" s="51"/>
      <c r="J90" s="51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50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view="pageBreakPreview" zoomScale="75" zoomScaleNormal="100" workbookViewId="0">
      <selection activeCell="D28" sqref="D28:H2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7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10864.165928547483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10864.165928547483</v>
      </c>
      <c r="O6" s="1"/>
      <c r="P6" s="1"/>
    </row>
    <row r="7" spans="1:16" ht="13.5" thickBot="1">
      <c r="C7" s="127" t="s">
        <v>46</v>
      </c>
      <c r="D7" s="338" t="s">
        <v>214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86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84424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12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IF(D10=0,0,ROUND(D10/D13,0))</f>
        <v>1876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2007</v>
      </c>
      <c r="D17" s="361">
        <v>84424</v>
      </c>
      <c r="E17" s="362">
        <v>0</v>
      </c>
      <c r="F17" s="361">
        <v>84424</v>
      </c>
      <c r="G17" s="362">
        <v>0</v>
      </c>
      <c r="H17" s="365">
        <v>0</v>
      </c>
      <c r="I17" s="160">
        <f t="shared" ref="I17:I48" si="0">H17-G17</f>
        <v>0</v>
      </c>
      <c r="J17" s="160"/>
      <c r="K17" s="332">
        <v>0</v>
      </c>
      <c r="L17" s="161">
        <f t="shared" ref="L17:L48" si="1">IF(K17&lt;&gt;0,+G17-K17,0)</f>
        <v>0</v>
      </c>
      <c r="M17" s="332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66">
        <v>84424</v>
      </c>
      <c r="E18" s="363">
        <v>1508</v>
      </c>
      <c r="F18" s="366">
        <v>82916</v>
      </c>
      <c r="G18" s="363">
        <v>0</v>
      </c>
      <c r="H18" s="365">
        <v>0</v>
      </c>
      <c r="I18" s="160">
        <f t="shared" si="0"/>
        <v>0</v>
      </c>
      <c r="J18" s="160"/>
      <c r="K18" s="333">
        <v>0</v>
      </c>
      <c r="L18" s="162">
        <f t="shared" si="1"/>
        <v>0</v>
      </c>
      <c r="M18" s="333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66">
        <v>82916</v>
      </c>
      <c r="E19" s="363">
        <v>1508</v>
      </c>
      <c r="F19" s="366">
        <v>81408</v>
      </c>
      <c r="G19" s="363">
        <v>0</v>
      </c>
      <c r="H19" s="365">
        <v>0</v>
      </c>
      <c r="I19" s="160">
        <f t="shared" si="0"/>
        <v>0</v>
      </c>
      <c r="J19" s="160"/>
      <c r="K19" s="333">
        <v>0</v>
      </c>
      <c r="L19" s="162">
        <f t="shared" si="1"/>
        <v>0</v>
      </c>
      <c r="M19" s="333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66">
        <v>81408</v>
      </c>
      <c r="E20" s="363">
        <v>1508</v>
      </c>
      <c r="F20" s="366">
        <v>79900</v>
      </c>
      <c r="G20" s="363">
        <v>13037.291488737637</v>
      </c>
      <c r="H20" s="365">
        <v>13037.291488737637</v>
      </c>
      <c r="I20" s="160">
        <v>0</v>
      </c>
      <c r="J20" s="160"/>
      <c r="K20" s="375">
        <f t="shared" ref="K20:K25" si="5">G20</f>
        <v>13037.291488737637</v>
      </c>
      <c r="L20" s="376">
        <f t="shared" si="1"/>
        <v>0</v>
      </c>
      <c r="M20" s="375">
        <f t="shared" ref="M20:M25" si="6">H20</f>
        <v>13037.291488737637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66">
        <v>79900</v>
      </c>
      <c r="E21" s="363">
        <v>1655</v>
      </c>
      <c r="F21" s="366">
        <v>78245</v>
      </c>
      <c r="G21" s="363">
        <v>13903.733792156472</v>
      </c>
      <c r="H21" s="365">
        <v>13903.733792156472</v>
      </c>
      <c r="I21" s="160">
        <f t="shared" si="0"/>
        <v>0</v>
      </c>
      <c r="J21" s="160"/>
      <c r="K21" s="333">
        <f t="shared" si="5"/>
        <v>13903.733792156472</v>
      </c>
      <c r="L21" s="269">
        <f t="shared" si="1"/>
        <v>0</v>
      </c>
      <c r="M21" s="333">
        <f t="shared" si="6"/>
        <v>13903.733792156472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66">
        <v>78245</v>
      </c>
      <c r="E22" s="363">
        <v>1624</v>
      </c>
      <c r="F22" s="366">
        <v>76621</v>
      </c>
      <c r="G22" s="363">
        <v>12290.159159207155</v>
      </c>
      <c r="H22" s="365">
        <v>12290.159159207155</v>
      </c>
      <c r="I22" s="160">
        <f t="shared" si="0"/>
        <v>0</v>
      </c>
      <c r="J22" s="160"/>
      <c r="K22" s="333">
        <f t="shared" si="5"/>
        <v>12290.159159207155</v>
      </c>
      <c r="L22" s="269">
        <f t="shared" si="1"/>
        <v>0</v>
      </c>
      <c r="M22" s="333">
        <f t="shared" si="6"/>
        <v>12290.159159207155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66">
        <v>76621</v>
      </c>
      <c r="E23" s="363">
        <v>1624</v>
      </c>
      <c r="F23" s="366">
        <v>74997</v>
      </c>
      <c r="G23" s="363">
        <v>12334.078606810854</v>
      </c>
      <c r="H23" s="365">
        <v>12334.078606810854</v>
      </c>
      <c r="I23" s="160">
        <v>0</v>
      </c>
      <c r="J23" s="160"/>
      <c r="K23" s="333">
        <f t="shared" si="5"/>
        <v>12334.078606810854</v>
      </c>
      <c r="L23" s="269">
        <f t="shared" ref="L23:L28" si="7">IF(K23&lt;&gt;0,+G23-K23,0)</f>
        <v>0</v>
      </c>
      <c r="M23" s="333">
        <f t="shared" si="6"/>
        <v>12334.078606810854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66">
        <v>74997</v>
      </c>
      <c r="E24" s="363">
        <v>1624</v>
      </c>
      <c r="F24" s="366">
        <v>73373</v>
      </c>
      <c r="G24" s="363">
        <v>11724.436761777028</v>
      </c>
      <c r="H24" s="365">
        <v>11724.436761777028</v>
      </c>
      <c r="I24" s="160">
        <v>0</v>
      </c>
      <c r="J24" s="160"/>
      <c r="K24" s="333">
        <f t="shared" si="5"/>
        <v>11724.436761777028</v>
      </c>
      <c r="L24" s="269">
        <f t="shared" si="7"/>
        <v>0</v>
      </c>
      <c r="M24" s="333">
        <f t="shared" si="6"/>
        <v>11724.436761777028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66">
        <v>73373</v>
      </c>
      <c r="E25" s="363">
        <v>1624</v>
      </c>
      <c r="F25" s="366">
        <v>71749</v>
      </c>
      <c r="G25" s="363">
        <v>11516.153501332747</v>
      </c>
      <c r="H25" s="365">
        <v>11516.153501332747</v>
      </c>
      <c r="I25" s="160">
        <v>0</v>
      </c>
      <c r="J25" s="160"/>
      <c r="K25" s="333">
        <f t="shared" si="5"/>
        <v>11516.153501332747</v>
      </c>
      <c r="L25" s="269">
        <f t="shared" si="7"/>
        <v>0</v>
      </c>
      <c r="M25" s="333">
        <f t="shared" si="6"/>
        <v>11516.153501332747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66">
        <v>71749</v>
      </c>
      <c r="E26" s="363">
        <v>1624</v>
      </c>
      <c r="F26" s="366">
        <v>70125</v>
      </c>
      <c r="G26" s="363">
        <v>10821.569336122064</v>
      </c>
      <c r="H26" s="365">
        <v>10821.569336122064</v>
      </c>
      <c r="I26" s="160">
        <f t="shared" si="0"/>
        <v>0</v>
      </c>
      <c r="J26" s="160"/>
      <c r="K26" s="333">
        <f>G26</f>
        <v>10821.569336122064</v>
      </c>
      <c r="L26" s="269">
        <f t="shared" si="7"/>
        <v>0</v>
      </c>
      <c r="M26" s="333">
        <f>H26</f>
        <v>10821.569336122064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66">
        <v>70125</v>
      </c>
      <c r="E27" s="363">
        <v>1835</v>
      </c>
      <c r="F27" s="366">
        <v>68290</v>
      </c>
      <c r="G27" s="363">
        <v>10525.630110064558</v>
      </c>
      <c r="H27" s="365">
        <v>10525.630110064558</v>
      </c>
      <c r="I27" s="160">
        <f t="shared" si="0"/>
        <v>0</v>
      </c>
      <c r="J27" s="160"/>
      <c r="K27" s="333">
        <f>G27</f>
        <v>10525.630110064558</v>
      </c>
      <c r="L27" s="269">
        <f t="shared" si="7"/>
        <v>0</v>
      </c>
      <c r="M27" s="333">
        <f>H27</f>
        <v>10525.630110064558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66">
        <v>68290</v>
      </c>
      <c r="E28" s="363">
        <v>1876</v>
      </c>
      <c r="F28" s="366">
        <v>66414</v>
      </c>
      <c r="G28" s="363">
        <v>10864.165928547483</v>
      </c>
      <c r="H28" s="365">
        <v>10864.165928547483</v>
      </c>
      <c r="I28" s="160">
        <f t="shared" si="0"/>
        <v>0</v>
      </c>
      <c r="J28" s="160"/>
      <c r="K28" s="333">
        <f>G28</f>
        <v>10864.165928547483</v>
      </c>
      <c r="L28" s="269">
        <f t="shared" si="7"/>
        <v>0</v>
      </c>
      <c r="M28" s="333">
        <f>H28</f>
        <v>10864.165928547483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163">
        <f>IF(F28+SUM(E$17:E28)=D$10,F28,D$10-SUM(E$17:E28))</f>
        <v>66414</v>
      </c>
      <c r="E29" s="164">
        <f>IF(+I14&lt;F28,I14,D29)</f>
        <v>1876</v>
      </c>
      <c r="F29" s="163">
        <f t="shared" ref="F29:F48" si="10">+D29-E29</f>
        <v>64538</v>
      </c>
      <c r="G29" s="165">
        <f t="shared" ref="G29:G72" si="11">+I$12*F29+E29</f>
        <v>10610.276699138698</v>
      </c>
      <c r="H29" s="147">
        <f t="shared" ref="H29:H72" si="12">+I$13*F29+E29</f>
        <v>10610.276699138698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64538</v>
      </c>
      <c r="E30" s="164">
        <f>IF(+I14&lt;F29,I14,D30)</f>
        <v>1876</v>
      </c>
      <c r="F30" s="163">
        <f t="shared" si="10"/>
        <v>62662</v>
      </c>
      <c r="G30" s="165">
        <f t="shared" si="11"/>
        <v>10356.387469729912</v>
      </c>
      <c r="H30" s="147">
        <f t="shared" si="12"/>
        <v>10356.387469729912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62662</v>
      </c>
      <c r="E31" s="164">
        <f>IF(+I14&lt;F30,I14,D31)</f>
        <v>1876</v>
      </c>
      <c r="F31" s="163">
        <f t="shared" si="10"/>
        <v>60786</v>
      </c>
      <c r="G31" s="165">
        <f t="shared" si="11"/>
        <v>10102.498240321127</v>
      </c>
      <c r="H31" s="147">
        <f t="shared" si="12"/>
        <v>10102.498240321127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60786</v>
      </c>
      <c r="E32" s="164">
        <f>IF(+I14&lt;F31,I14,D32)</f>
        <v>1876</v>
      </c>
      <c r="F32" s="163">
        <f t="shared" si="10"/>
        <v>58910</v>
      </c>
      <c r="G32" s="165">
        <f t="shared" si="11"/>
        <v>9848.6090109123397</v>
      </c>
      <c r="H32" s="147">
        <f t="shared" si="12"/>
        <v>9848.6090109123397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58910</v>
      </c>
      <c r="E33" s="164">
        <f>IF(+I14&lt;F32,I14,D33)</f>
        <v>1876</v>
      </c>
      <c r="F33" s="163">
        <f t="shared" si="10"/>
        <v>57034</v>
      </c>
      <c r="G33" s="165">
        <f t="shared" si="11"/>
        <v>9594.7197815035543</v>
      </c>
      <c r="H33" s="147">
        <f t="shared" si="12"/>
        <v>9594.7197815035543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57034</v>
      </c>
      <c r="E34" s="164">
        <f>IF(+I14&lt;F33,I14,D34)</f>
        <v>1876</v>
      </c>
      <c r="F34" s="163">
        <f t="shared" si="10"/>
        <v>55158</v>
      </c>
      <c r="G34" s="165">
        <f t="shared" si="11"/>
        <v>9340.8305520947688</v>
      </c>
      <c r="H34" s="147">
        <f t="shared" si="12"/>
        <v>9340.8305520947688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55158</v>
      </c>
      <c r="E35" s="164">
        <f>IF(+I14&lt;F34,I14,D35)</f>
        <v>1876</v>
      </c>
      <c r="F35" s="163">
        <f t="shared" si="10"/>
        <v>53282</v>
      </c>
      <c r="G35" s="165">
        <f t="shared" si="11"/>
        <v>9086.9413226859833</v>
      </c>
      <c r="H35" s="147">
        <f t="shared" si="12"/>
        <v>9086.9413226859833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53282</v>
      </c>
      <c r="E36" s="164">
        <f>IF(+I14&lt;F35,I14,D36)</f>
        <v>1876</v>
      </c>
      <c r="F36" s="163">
        <f t="shared" si="10"/>
        <v>51406</v>
      </c>
      <c r="G36" s="165">
        <f t="shared" si="11"/>
        <v>8833.0520932771979</v>
      </c>
      <c r="H36" s="147">
        <f t="shared" si="12"/>
        <v>8833.0520932771979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51406</v>
      </c>
      <c r="E37" s="164">
        <f>IF(+I14&lt;F36,I14,D37)</f>
        <v>1876</v>
      </c>
      <c r="F37" s="163">
        <f t="shared" si="10"/>
        <v>49530</v>
      </c>
      <c r="G37" s="165">
        <f t="shared" si="11"/>
        <v>8579.1628638684124</v>
      </c>
      <c r="H37" s="147">
        <f t="shared" si="12"/>
        <v>8579.1628638684124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49530</v>
      </c>
      <c r="E38" s="164">
        <f>IF(+I14&lt;F37,I14,D38)</f>
        <v>1876</v>
      </c>
      <c r="F38" s="163">
        <f t="shared" si="10"/>
        <v>47654</v>
      </c>
      <c r="G38" s="165">
        <f t="shared" si="11"/>
        <v>8325.2736344596269</v>
      </c>
      <c r="H38" s="147">
        <f t="shared" si="12"/>
        <v>8325.2736344596269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47654</v>
      </c>
      <c r="E39" s="164">
        <f>IF(+I14&lt;F38,I14,D39)</f>
        <v>1876</v>
      </c>
      <c r="F39" s="163">
        <f t="shared" si="10"/>
        <v>45778</v>
      </c>
      <c r="G39" s="165">
        <f t="shared" si="11"/>
        <v>8071.3844050508424</v>
      </c>
      <c r="H39" s="147">
        <f t="shared" si="12"/>
        <v>8071.3844050508424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45778</v>
      </c>
      <c r="E40" s="164">
        <f>IF(+I14&lt;F39,I14,D40)</f>
        <v>1876</v>
      </c>
      <c r="F40" s="163">
        <f t="shared" si="10"/>
        <v>43902</v>
      </c>
      <c r="G40" s="165">
        <f t="shared" si="11"/>
        <v>7817.4951756420569</v>
      </c>
      <c r="H40" s="147">
        <f t="shared" si="12"/>
        <v>7817.4951756420569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43902</v>
      </c>
      <c r="E41" s="164">
        <f>IF(+I14&lt;F40,I14,D41)</f>
        <v>1876</v>
      </c>
      <c r="F41" s="163">
        <f t="shared" si="10"/>
        <v>42026</v>
      </c>
      <c r="G41" s="165">
        <f t="shared" si="11"/>
        <v>7563.6059462332714</v>
      </c>
      <c r="H41" s="147">
        <f t="shared" si="12"/>
        <v>7563.6059462332714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42026</v>
      </c>
      <c r="E42" s="164">
        <f>IF(+I14&lt;F41,I14,D42)</f>
        <v>1876</v>
      </c>
      <c r="F42" s="163">
        <f t="shared" si="10"/>
        <v>40150</v>
      </c>
      <c r="G42" s="165">
        <f t="shared" si="11"/>
        <v>7309.716716824486</v>
      </c>
      <c r="H42" s="147">
        <f t="shared" si="12"/>
        <v>7309.716716824486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40150</v>
      </c>
      <c r="E43" s="164">
        <f>IF(+I14&lt;F42,I14,D43)</f>
        <v>1876</v>
      </c>
      <c r="F43" s="163">
        <f t="shared" si="10"/>
        <v>38274</v>
      </c>
      <c r="G43" s="165">
        <f t="shared" si="11"/>
        <v>7055.8274874157005</v>
      </c>
      <c r="H43" s="147">
        <f t="shared" si="12"/>
        <v>7055.8274874157005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38274</v>
      </c>
      <c r="E44" s="164">
        <f>IF(+I14&lt;F43,I14,D44)</f>
        <v>1876</v>
      </c>
      <c r="F44" s="163">
        <f t="shared" si="10"/>
        <v>36398</v>
      </c>
      <c r="G44" s="165">
        <f t="shared" si="11"/>
        <v>6801.938258006915</v>
      </c>
      <c r="H44" s="147">
        <f t="shared" si="12"/>
        <v>6801.938258006915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36398</v>
      </c>
      <c r="E45" s="164">
        <f>IF(+I14&lt;F44,I14,D45)</f>
        <v>1876</v>
      </c>
      <c r="F45" s="163">
        <f t="shared" si="10"/>
        <v>34522</v>
      </c>
      <c r="G45" s="165">
        <f t="shared" si="11"/>
        <v>6548.0490285981296</v>
      </c>
      <c r="H45" s="147">
        <f t="shared" si="12"/>
        <v>6548.0490285981296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34522</v>
      </c>
      <c r="E46" s="164">
        <f>IF(+I14&lt;F45,I14,D46)</f>
        <v>1876</v>
      </c>
      <c r="F46" s="163">
        <f t="shared" si="10"/>
        <v>32646</v>
      </c>
      <c r="G46" s="165">
        <f t="shared" si="11"/>
        <v>6294.1597991893441</v>
      </c>
      <c r="H46" s="147">
        <f t="shared" si="12"/>
        <v>6294.1597991893441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32646</v>
      </c>
      <c r="E47" s="164">
        <f>IF(+I14&lt;F46,I14,D47)</f>
        <v>1876</v>
      </c>
      <c r="F47" s="163">
        <f t="shared" si="10"/>
        <v>30770</v>
      </c>
      <c r="G47" s="165">
        <f t="shared" si="11"/>
        <v>6040.2705697805586</v>
      </c>
      <c r="H47" s="147">
        <f t="shared" si="12"/>
        <v>6040.2705697805586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30770</v>
      </c>
      <c r="E48" s="164">
        <f>IF(+I14&lt;F47,I14,D48)</f>
        <v>1876</v>
      </c>
      <c r="F48" s="163">
        <f t="shared" si="10"/>
        <v>28894</v>
      </c>
      <c r="G48" s="165">
        <f t="shared" si="11"/>
        <v>5786.3813403717741</v>
      </c>
      <c r="H48" s="147">
        <f t="shared" si="12"/>
        <v>5786.3813403717741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28894</v>
      </c>
      <c r="E49" s="164">
        <f>IF(+I14&lt;F48,I14,D49)</f>
        <v>1876</v>
      </c>
      <c r="F49" s="163">
        <f t="shared" ref="F49:F72" si="13">+D49-E49</f>
        <v>27018</v>
      </c>
      <c r="G49" s="165">
        <f t="shared" si="11"/>
        <v>5532.4921109629886</v>
      </c>
      <c r="H49" s="147">
        <f t="shared" si="12"/>
        <v>5532.4921109629886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27018</v>
      </c>
      <c r="E50" s="164">
        <f>IF(+I14&lt;F49,I14,D50)</f>
        <v>1876</v>
      </c>
      <c r="F50" s="163">
        <f t="shared" si="13"/>
        <v>25142</v>
      </c>
      <c r="G50" s="165">
        <f t="shared" si="11"/>
        <v>5278.6028815542031</v>
      </c>
      <c r="H50" s="147">
        <f t="shared" si="12"/>
        <v>5278.6028815542031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25142</v>
      </c>
      <c r="E51" s="164">
        <f>IF(+I14&lt;F50,I14,D51)</f>
        <v>1876</v>
      </c>
      <c r="F51" s="163">
        <f t="shared" si="13"/>
        <v>23266</v>
      </c>
      <c r="G51" s="165">
        <f t="shared" si="11"/>
        <v>5024.7136521454177</v>
      </c>
      <c r="H51" s="147">
        <f t="shared" si="12"/>
        <v>5024.7136521454177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23266</v>
      </c>
      <c r="E52" s="164">
        <f>IF(+I14&lt;F51,I14,D52)</f>
        <v>1876</v>
      </c>
      <c r="F52" s="163">
        <f t="shared" si="13"/>
        <v>21390</v>
      </c>
      <c r="G52" s="165">
        <f t="shared" si="11"/>
        <v>4770.8244227366322</v>
      </c>
      <c r="H52" s="147">
        <f t="shared" si="12"/>
        <v>4770.8244227366322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21390</v>
      </c>
      <c r="E53" s="164">
        <f>IF(+I14&lt;F52,I14,D53)</f>
        <v>1876</v>
      </c>
      <c r="F53" s="163">
        <f t="shared" si="13"/>
        <v>19514</v>
      </c>
      <c r="G53" s="165">
        <f t="shared" si="11"/>
        <v>4516.9351933278467</v>
      </c>
      <c r="H53" s="147">
        <f t="shared" si="12"/>
        <v>4516.9351933278467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19514</v>
      </c>
      <c r="E54" s="164">
        <f>IF(+I14&lt;F53,I14,D54)</f>
        <v>1876</v>
      </c>
      <c r="F54" s="163">
        <f t="shared" si="13"/>
        <v>17638</v>
      </c>
      <c r="G54" s="165">
        <f t="shared" si="11"/>
        <v>4263.0459639190613</v>
      </c>
      <c r="H54" s="147">
        <f t="shared" si="12"/>
        <v>4263.0459639190613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17638</v>
      </c>
      <c r="E55" s="164">
        <f>IF(+I14&lt;F54,I14,D55)</f>
        <v>1876</v>
      </c>
      <c r="F55" s="163">
        <f t="shared" si="13"/>
        <v>15762</v>
      </c>
      <c r="G55" s="165">
        <f t="shared" si="11"/>
        <v>4009.1567345102753</v>
      </c>
      <c r="H55" s="147">
        <f t="shared" si="12"/>
        <v>4009.1567345102753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15762</v>
      </c>
      <c r="E56" s="164">
        <f>IF(+I14&lt;F55,I14,D56)</f>
        <v>1876</v>
      </c>
      <c r="F56" s="163">
        <f t="shared" si="13"/>
        <v>13886</v>
      </c>
      <c r="G56" s="165">
        <f t="shared" si="11"/>
        <v>3755.2675051014899</v>
      </c>
      <c r="H56" s="147">
        <f t="shared" si="12"/>
        <v>3755.2675051014899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13886</v>
      </c>
      <c r="E57" s="164">
        <f>IF(+I14&lt;F56,I14,D57)</f>
        <v>1876</v>
      </c>
      <c r="F57" s="163">
        <f t="shared" si="13"/>
        <v>12010</v>
      </c>
      <c r="G57" s="165">
        <f t="shared" si="11"/>
        <v>3501.3782756927044</v>
      </c>
      <c r="H57" s="147">
        <f t="shared" si="12"/>
        <v>3501.3782756927044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12010</v>
      </c>
      <c r="E58" s="164">
        <f>IF(+I14&lt;F57,I14,D58)</f>
        <v>1876</v>
      </c>
      <c r="F58" s="163">
        <f t="shared" si="13"/>
        <v>10134</v>
      </c>
      <c r="G58" s="165">
        <f t="shared" si="11"/>
        <v>3247.4890462839189</v>
      </c>
      <c r="H58" s="147">
        <f t="shared" si="12"/>
        <v>3247.4890462839189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10134</v>
      </c>
      <c r="E59" s="164">
        <f>IF(+I14&lt;F58,I14,D59)</f>
        <v>1876</v>
      </c>
      <c r="F59" s="163">
        <f t="shared" si="13"/>
        <v>8258</v>
      </c>
      <c r="G59" s="165">
        <f t="shared" si="11"/>
        <v>2993.5998168751335</v>
      </c>
      <c r="H59" s="147">
        <f t="shared" si="12"/>
        <v>2993.5998168751335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8258</v>
      </c>
      <c r="E60" s="164">
        <f>IF(+I14&lt;F59,I14,D60)</f>
        <v>1876</v>
      </c>
      <c r="F60" s="163">
        <f t="shared" si="13"/>
        <v>6382</v>
      </c>
      <c r="G60" s="165">
        <f t="shared" si="11"/>
        <v>2739.710587466348</v>
      </c>
      <c r="H60" s="147">
        <f t="shared" si="12"/>
        <v>2739.710587466348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2051</v>
      </c>
      <c r="D61" s="163">
        <f>IF(F60+SUM(E$17:E60)=D$10,F60,D$10-SUM(E$17:E60))</f>
        <v>6382</v>
      </c>
      <c r="E61" s="164">
        <f>IF(+I14&lt;F60,I14,D61)</f>
        <v>1876</v>
      </c>
      <c r="F61" s="163">
        <f t="shared" si="13"/>
        <v>4506</v>
      </c>
      <c r="G61" s="167">
        <f t="shared" si="11"/>
        <v>2485.8213580575625</v>
      </c>
      <c r="H61" s="147">
        <f t="shared" si="12"/>
        <v>2485.8213580575625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4506</v>
      </c>
      <c r="E62" s="164">
        <f>IF(+I14&lt;F61,I14,D62)</f>
        <v>1876</v>
      </c>
      <c r="F62" s="163">
        <f t="shared" si="13"/>
        <v>2630</v>
      </c>
      <c r="G62" s="167">
        <f t="shared" si="11"/>
        <v>2231.9321286487771</v>
      </c>
      <c r="H62" s="147">
        <f t="shared" si="12"/>
        <v>2231.9321286487771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2630</v>
      </c>
      <c r="E63" s="164">
        <f>IF(+I14&lt;F62,I14,D63)</f>
        <v>1876</v>
      </c>
      <c r="F63" s="163">
        <f t="shared" si="13"/>
        <v>754</v>
      </c>
      <c r="G63" s="167">
        <f t="shared" si="11"/>
        <v>1978.0428992399916</v>
      </c>
      <c r="H63" s="147">
        <f t="shared" si="12"/>
        <v>1978.0428992399916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754</v>
      </c>
      <c r="E64" s="164">
        <f>IF(+I14&lt;F63,I14,D64)</f>
        <v>754</v>
      </c>
      <c r="F64" s="163">
        <f t="shared" si="13"/>
        <v>0</v>
      </c>
      <c r="G64" s="167">
        <f t="shared" si="11"/>
        <v>754</v>
      </c>
      <c r="H64" s="147">
        <f t="shared" si="12"/>
        <v>754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1"/>
        <v>0</v>
      </c>
      <c r="H72" s="130">
        <f t="shared" si="12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84424</v>
      </c>
      <c r="F73" s="115"/>
      <c r="G73" s="115">
        <f>SUM(G17:G72)</f>
        <v>328066.81165638304</v>
      </c>
      <c r="H73" s="115">
        <f>SUM(H17:H72)</f>
        <v>328066.81165638304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7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10864.165928547483</v>
      </c>
      <c r="N87" s="202">
        <f>IF(J92&lt;D11,0,VLOOKUP(J92,C17:O72,11))</f>
        <v>10864.165928547483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8835.6498462369182</v>
      </c>
      <c r="N88" s="204">
        <f>IF(J92&lt;D11,0,VLOOKUP(J92,C99:P154,7))</f>
        <v>8835.6498462369182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Elk City - Elk City 69 kV line (CT Upgrades)*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-2028.5160823105653</v>
      </c>
      <c r="N89" s="207">
        <f>+N88-N87</f>
        <v>-2028.5160823105653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TP2007015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84424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2007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12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1963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2007</v>
      </c>
      <c r="D99" s="361">
        <v>0</v>
      </c>
      <c r="E99" s="363">
        <v>0</v>
      </c>
      <c r="F99" s="366">
        <v>84424</v>
      </c>
      <c r="G99" s="368">
        <v>42212</v>
      </c>
      <c r="H99" s="369">
        <v>0</v>
      </c>
      <c r="I99" s="370">
        <v>0</v>
      </c>
      <c r="J99" s="162">
        <f t="shared" ref="J99:J130" si="18">+I99-H99</f>
        <v>0</v>
      </c>
      <c r="K99" s="162"/>
      <c r="L99" s="332">
        <v>0</v>
      </c>
      <c r="M99" s="161">
        <f t="shared" ref="M99:M130" si="19">IF(L99&lt;&gt;0,+H99-L99,0)</f>
        <v>0</v>
      </c>
      <c r="N99" s="332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1">
        <v>84424</v>
      </c>
      <c r="E100" s="363">
        <v>1593</v>
      </c>
      <c r="F100" s="366">
        <v>82831</v>
      </c>
      <c r="G100" s="366">
        <v>83628</v>
      </c>
      <c r="H100" s="363">
        <v>14877</v>
      </c>
      <c r="I100" s="365">
        <v>14877</v>
      </c>
      <c r="J100" s="162">
        <f t="shared" si="18"/>
        <v>0</v>
      </c>
      <c r="K100" s="162"/>
      <c r="L100" s="333">
        <v>14877</v>
      </c>
      <c r="M100" s="162">
        <f t="shared" si="19"/>
        <v>0</v>
      </c>
      <c r="N100" s="333">
        <v>14877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2009</v>
      </c>
      <c r="D101" s="361">
        <v>82831</v>
      </c>
      <c r="E101" s="363">
        <v>1508</v>
      </c>
      <c r="F101" s="366">
        <v>81323</v>
      </c>
      <c r="G101" s="366">
        <v>82077</v>
      </c>
      <c r="H101" s="363">
        <v>13508.337143636172</v>
      </c>
      <c r="I101" s="365">
        <v>13508.337143636172</v>
      </c>
      <c r="J101" s="162">
        <f t="shared" si="18"/>
        <v>0</v>
      </c>
      <c r="K101" s="162"/>
      <c r="L101" s="375">
        <f t="shared" ref="L101:L106" si="23">H101</f>
        <v>13508.337143636172</v>
      </c>
      <c r="M101" s="376">
        <f t="shared" si="19"/>
        <v>0</v>
      </c>
      <c r="N101" s="375">
        <f t="shared" ref="N101:N106" si="24">I101</f>
        <v>13508.337143636172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2010</v>
      </c>
      <c r="D102" s="361">
        <v>81323</v>
      </c>
      <c r="E102" s="363">
        <v>1655</v>
      </c>
      <c r="F102" s="366">
        <v>79668</v>
      </c>
      <c r="G102" s="366">
        <v>80495.5</v>
      </c>
      <c r="H102" s="363">
        <v>14599.901682354179</v>
      </c>
      <c r="I102" s="365">
        <v>14599.901682354179</v>
      </c>
      <c r="J102" s="162">
        <f t="shared" si="18"/>
        <v>0</v>
      </c>
      <c r="K102" s="162"/>
      <c r="L102" s="375">
        <f t="shared" si="23"/>
        <v>14599.901682354179</v>
      </c>
      <c r="M102" s="376">
        <f t="shared" si="19"/>
        <v>0</v>
      </c>
      <c r="N102" s="375">
        <f t="shared" si="24"/>
        <v>14599.901682354179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2011</v>
      </c>
      <c r="D103" s="361">
        <v>79668</v>
      </c>
      <c r="E103" s="363">
        <v>1624</v>
      </c>
      <c r="F103" s="366">
        <v>78044</v>
      </c>
      <c r="G103" s="366">
        <v>78856</v>
      </c>
      <c r="H103" s="363">
        <v>12649.128461660426</v>
      </c>
      <c r="I103" s="365">
        <v>12649.128461660426</v>
      </c>
      <c r="J103" s="162">
        <f t="shared" si="18"/>
        <v>0</v>
      </c>
      <c r="K103" s="162"/>
      <c r="L103" s="375">
        <f t="shared" si="23"/>
        <v>12649.128461660426</v>
      </c>
      <c r="M103" s="376">
        <f t="shared" si="19"/>
        <v>0</v>
      </c>
      <c r="N103" s="375">
        <f t="shared" si="24"/>
        <v>12649.128461660426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2012</v>
      </c>
      <c r="D104" s="361">
        <v>78044</v>
      </c>
      <c r="E104" s="363">
        <v>1624</v>
      </c>
      <c r="F104" s="366">
        <v>76420</v>
      </c>
      <c r="G104" s="366">
        <v>77232</v>
      </c>
      <c r="H104" s="363">
        <v>12734.246570183563</v>
      </c>
      <c r="I104" s="365">
        <v>12734.246570183563</v>
      </c>
      <c r="J104" s="162">
        <v>0</v>
      </c>
      <c r="K104" s="162"/>
      <c r="L104" s="375">
        <f t="shared" si="23"/>
        <v>12734.246570183563</v>
      </c>
      <c r="M104" s="376">
        <f t="shared" ref="M104:M109" si="25">IF(L104&lt;&gt;0,+H104-L104,0)</f>
        <v>0</v>
      </c>
      <c r="N104" s="375">
        <f t="shared" si="24"/>
        <v>12734.246570183563</v>
      </c>
      <c r="O104" s="162">
        <f t="shared" ref="O104:O109" si="26">IF(N104&lt;&gt;0,+I104-N104,0)</f>
        <v>0</v>
      </c>
      <c r="P104" s="162">
        <f t="shared" ref="P104:P109" si="27">+O104-M104</f>
        <v>0</v>
      </c>
    </row>
    <row r="105" spans="1:16">
      <c r="B105" s="9" t="str">
        <f t="shared" si="22"/>
        <v/>
      </c>
      <c r="C105" s="157">
        <f>IF(D93="","-",+C104+1)</f>
        <v>2013</v>
      </c>
      <c r="D105" s="361">
        <v>76420</v>
      </c>
      <c r="E105" s="363">
        <v>1624</v>
      </c>
      <c r="F105" s="366">
        <v>74796</v>
      </c>
      <c r="G105" s="366">
        <v>75608</v>
      </c>
      <c r="H105" s="363">
        <v>12506.984818583547</v>
      </c>
      <c r="I105" s="365">
        <v>12506.984818583547</v>
      </c>
      <c r="J105" s="162">
        <v>0</v>
      </c>
      <c r="K105" s="162"/>
      <c r="L105" s="375">
        <f t="shared" si="23"/>
        <v>12506.984818583547</v>
      </c>
      <c r="M105" s="376">
        <f t="shared" si="25"/>
        <v>0</v>
      </c>
      <c r="N105" s="375">
        <f t="shared" si="24"/>
        <v>12506.984818583547</v>
      </c>
      <c r="O105" s="162">
        <f t="shared" si="26"/>
        <v>0</v>
      </c>
      <c r="P105" s="162">
        <f t="shared" si="27"/>
        <v>0</v>
      </c>
    </row>
    <row r="106" spans="1:16">
      <c r="B106" s="9" t="str">
        <f t="shared" si="22"/>
        <v/>
      </c>
      <c r="C106" s="157">
        <f>IF(D93="","-",+C105+1)</f>
        <v>2014</v>
      </c>
      <c r="D106" s="361">
        <v>74796</v>
      </c>
      <c r="E106" s="363">
        <v>1624</v>
      </c>
      <c r="F106" s="366">
        <v>73172</v>
      </c>
      <c r="G106" s="366">
        <v>73984</v>
      </c>
      <c r="H106" s="363">
        <v>12025.847971361507</v>
      </c>
      <c r="I106" s="365">
        <v>12025.847971361507</v>
      </c>
      <c r="J106" s="162">
        <v>0</v>
      </c>
      <c r="K106" s="162"/>
      <c r="L106" s="375">
        <f t="shared" si="23"/>
        <v>12025.847971361507</v>
      </c>
      <c r="M106" s="376">
        <f t="shared" si="25"/>
        <v>0</v>
      </c>
      <c r="N106" s="375">
        <f t="shared" si="24"/>
        <v>12025.847971361507</v>
      </c>
      <c r="O106" s="162">
        <f t="shared" si="26"/>
        <v>0</v>
      </c>
      <c r="P106" s="162">
        <f t="shared" si="27"/>
        <v>0</v>
      </c>
    </row>
    <row r="107" spans="1:16">
      <c r="B107" s="9" t="str">
        <f t="shared" si="22"/>
        <v/>
      </c>
      <c r="C107" s="157">
        <f>IF(D93="","-",+C106+1)</f>
        <v>2015</v>
      </c>
      <c r="D107" s="361">
        <v>73172</v>
      </c>
      <c r="E107" s="363">
        <v>1624</v>
      </c>
      <c r="F107" s="366">
        <v>71548</v>
      </c>
      <c r="G107" s="366">
        <v>72360</v>
      </c>
      <c r="H107" s="363">
        <v>11496.940196929139</v>
      </c>
      <c r="I107" s="365">
        <v>11496.940196929139</v>
      </c>
      <c r="J107" s="162">
        <f t="shared" si="18"/>
        <v>0</v>
      </c>
      <c r="K107" s="162"/>
      <c r="L107" s="375">
        <f>H107</f>
        <v>11496.940196929139</v>
      </c>
      <c r="M107" s="376">
        <f t="shared" si="25"/>
        <v>0</v>
      </c>
      <c r="N107" s="375">
        <f>I107</f>
        <v>11496.940196929139</v>
      </c>
      <c r="O107" s="162">
        <f t="shared" si="26"/>
        <v>0</v>
      </c>
      <c r="P107" s="162">
        <f t="shared" si="27"/>
        <v>0</v>
      </c>
    </row>
    <row r="108" spans="1:16">
      <c r="B108" s="9" t="str">
        <f t="shared" si="22"/>
        <v/>
      </c>
      <c r="C108" s="157">
        <f>IF(D93="","-",+C107+1)</f>
        <v>2016</v>
      </c>
      <c r="D108" s="361">
        <v>71548</v>
      </c>
      <c r="E108" s="363">
        <v>1835</v>
      </c>
      <c r="F108" s="366">
        <v>69713</v>
      </c>
      <c r="G108" s="366">
        <v>70630.5</v>
      </c>
      <c r="H108" s="363">
        <v>10940.383800869789</v>
      </c>
      <c r="I108" s="365">
        <v>10940.383800869789</v>
      </c>
      <c r="J108" s="162">
        <f t="shared" si="18"/>
        <v>0</v>
      </c>
      <c r="K108" s="162"/>
      <c r="L108" s="375">
        <f>H108</f>
        <v>10940.383800869789</v>
      </c>
      <c r="M108" s="376">
        <f t="shared" si="25"/>
        <v>0</v>
      </c>
      <c r="N108" s="375">
        <f>I108</f>
        <v>10940.383800869789</v>
      </c>
      <c r="O108" s="162">
        <f t="shared" si="26"/>
        <v>0</v>
      </c>
      <c r="P108" s="162">
        <f t="shared" si="27"/>
        <v>0</v>
      </c>
    </row>
    <row r="109" spans="1:16">
      <c r="B109" s="9" t="str">
        <f t="shared" si="22"/>
        <v/>
      </c>
      <c r="C109" s="157">
        <f>IF(D93="","-",+C108+1)</f>
        <v>2017</v>
      </c>
      <c r="D109" s="361">
        <v>69713</v>
      </c>
      <c r="E109" s="363">
        <v>1835</v>
      </c>
      <c r="F109" s="366">
        <v>67878</v>
      </c>
      <c r="G109" s="366">
        <v>68795.5</v>
      </c>
      <c r="H109" s="363">
        <v>10561.882642914878</v>
      </c>
      <c r="I109" s="365">
        <v>10561.882642914878</v>
      </c>
      <c r="J109" s="162">
        <f t="shared" si="18"/>
        <v>0</v>
      </c>
      <c r="K109" s="162"/>
      <c r="L109" s="375">
        <f>H109</f>
        <v>10561.882642914878</v>
      </c>
      <c r="M109" s="376">
        <f t="shared" si="25"/>
        <v>0</v>
      </c>
      <c r="N109" s="375">
        <f>I109</f>
        <v>10561.882642914878</v>
      </c>
      <c r="O109" s="162">
        <f t="shared" si="26"/>
        <v>0</v>
      </c>
      <c r="P109" s="162">
        <f t="shared" si="27"/>
        <v>0</v>
      </c>
    </row>
    <row r="110" spans="1:16">
      <c r="B110" s="9" t="str">
        <f t="shared" si="22"/>
        <v/>
      </c>
      <c r="C110" s="157">
        <f>IF(D93="","-",+C109+1)</f>
        <v>2018</v>
      </c>
      <c r="D110" s="158">
        <f>IF(F109+SUM(E$99:E109)=D$92,F109,D$92-SUM(E$99:E109))</f>
        <v>67878</v>
      </c>
      <c r="E110" s="165">
        <f>IF(+J96&lt;F109,J96,D110)</f>
        <v>1963</v>
      </c>
      <c r="F110" s="163">
        <f t="shared" ref="F110:F129" si="28">+D110-E110</f>
        <v>65915</v>
      </c>
      <c r="G110" s="163">
        <f t="shared" ref="G110:G129" si="29">+(F110+D110)/2</f>
        <v>66896.5</v>
      </c>
      <c r="H110" s="167">
        <f t="shared" ref="H110:H154" si="30">+J$94*G110+E110</f>
        <v>8835.6498462369182</v>
      </c>
      <c r="I110" s="312">
        <f t="shared" ref="I110:I154" si="31">+J$95*G110+E110</f>
        <v>8835.6498462369182</v>
      </c>
      <c r="J110" s="162">
        <f t="shared" si="18"/>
        <v>0</v>
      </c>
      <c r="K110" s="162"/>
      <c r="L110" s="330"/>
      <c r="M110" s="162">
        <f t="shared" si="19"/>
        <v>0</v>
      </c>
      <c r="N110" s="330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2019</v>
      </c>
      <c r="D111" s="158">
        <f>IF(F110+SUM(E$99:E110)=D$92,F110,D$92-SUM(E$99:E110))</f>
        <v>65915</v>
      </c>
      <c r="E111" s="165">
        <f>IF(+J96&lt;F110,J96,D111)</f>
        <v>1963</v>
      </c>
      <c r="F111" s="163">
        <f t="shared" si="28"/>
        <v>63952</v>
      </c>
      <c r="G111" s="163">
        <f t="shared" si="29"/>
        <v>64933.5</v>
      </c>
      <c r="H111" s="167">
        <f t="shared" si="30"/>
        <v>8633.9799285556783</v>
      </c>
      <c r="I111" s="312">
        <f t="shared" si="31"/>
        <v>8633.9799285556783</v>
      </c>
      <c r="J111" s="162">
        <f t="shared" si="18"/>
        <v>0</v>
      </c>
      <c r="K111" s="162"/>
      <c r="L111" s="330"/>
      <c r="M111" s="162">
        <f t="shared" si="19"/>
        <v>0</v>
      </c>
      <c r="N111" s="330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2020</v>
      </c>
      <c r="D112" s="158">
        <f>IF(F111+SUM(E$99:E111)=D$92,F111,D$92-SUM(E$99:E111))</f>
        <v>63952</v>
      </c>
      <c r="E112" s="165">
        <f>IF(+J96&lt;F111,J96,D112)</f>
        <v>1963</v>
      </c>
      <c r="F112" s="163">
        <f t="shared" si="28"/>
        <v>61989</v>
      </c>
      <c r="G112" s="163">
        <f t="shared" si="29"/>
        <v>62970.5</v>
      </c>
      <c r="H112" s="167">
        <f t="shared" si="30"/>
        <v>8432.3100108744384</v>
      </c>
      <c r="I112" s="312">
        <f t="shared" si="31"/>
        <v>8432.3100108744384</v>
      </c>
      <c r="J112" s="162">
        <f t="shared" si="18"/>
        <v>0</v>
      </c>
      <c r="K112" s="162"/>
      <c r="L112" s="330"/>
      <c r="M112" s="162">
        <f t="shared" si="19"/>
        <v>0</v>
      </c>
      <c r="N112" s="330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2021</v>
      </c>
      <c r="D113" s="158">
        <f>IF(F112+SUM(E$99:E112)=D$92,F112,D$92-SUM(E$99:E112))</f>
        <v>61989</v>
      </c>
      <c r="E113" s="165">
        <f>IF(+J96&lt;F112,J96,D113)</f>
        <v>1963</v>
      </c>
      <c r="F113" s="163">
        <f t="shared" si="28"/>
        <v>60026</v>
      </c>
      <c r="G113" s="163">
        <f t="shared" si="29"/>
        <v>61007.5</v>
      </c>
      <c r="H113" s="167">
        <f t="shared" si="30"/>
        <v>8230.6400931931985</v>
      </c>
      <c r="I113" s="312">
        <f t="shared" si="31"/>
        <v>8230.6400931931985</v>
      </c>
      <c r="J113" s="162">
        <f t="shared" si="18"/>
        <v>0</v>
      </c>
      <c r="K113" s="162"/>
      <c r="L113" s="330"/>
      <c r="M113" s="162">
        <f t="shared" si="19"/>
        <v>0</v>
      </c>
      <c r="N113" s="330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2022</v>
      </c>
      <c r="D114" s="158">
        <f>IF(F113+SUM(E$99:E113)=D$92,F113,D$92-SUM(E$99:E113))</f>
        <v>60026</v>
      </c>
      <c r="E114" s="165">
        <f>IF(+J96&lt;F113,J96,D114)</f>
        <v>1963</v>
      </c>
      <c r="F114" s="163">
        <f t="shared" si="28"/>
        <v>58063</v>
      </c>
      <c r="G114" s="163">
        <f t="shared" si="29"/>
        <v>59044.5</v>
      </c>
      <c r="H114" s="167">
        <f t="shared" si="30"/>
        <v>8028.9701755119586</v>
      </c>
      <c r="I114" s="312">
        <f t="shared" si="31"/>
        <v>8028.9701755119586</v>
      </c>
      <c r="J114" s="162">
        <f t="shared" si="18"/>
        <v>0</v>
      </c>
      <c r="K114" s="162"/>
      <c r="L114" s="330"/>
      <c r="M114" s="162">
        <f t="shared" si="19"/>
        <v>0</v>
      </c>
      <c r="N114" s="330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2023</v>
      </c>
      <c r="D115" s="158">
        <f>IF(F114+SUM(E$99:E114)=D$92,F114,D$92-SUM(E$99:E114))</f>
        <v>58063</v>
      </c>
      <c r="E115" s="165">
        <f>IF(+J96&lt;F114,J96,D115)</f>
        <v>1963</v>
      </c>
      <c r="F115" s="163">
        <f t="shared" si="28"/>
        <v>56100</v>
      </c>
      <c r="G115" s="163">
        <f t="shared" si="29"/>
        <v>57081.5</v>
      </c>
      <c r="H115" s="167">
        <f t="shared" si="30"/>
        <v>7827.3002578307187</v>
      </c>
      <c r="I115" s="312">
        <f t="shared" si="31"/>
        <v>7827.3002578307187</v>
      </c>
      <c r="J115" s="162">
        <f t="shared" si="18"/>
        <v>0</v>
      </c>
      <c r="K115" s="162"/>
      <c r="L115" s="330"/>
      <c r="M115" s="162">
        <f t="shared" si="19"/>
        <v>0</v>
      </c>
      <c r="N115" s="330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2024</v>
      </c>
      <c r="D116" s="158">
        <f>IF(F115+SUM(E$99:E115)=D$92,F115,D$92-SUM(E$99:E115))</f>
        <v>56100</v>
      </c>
      <c r="E116" s="165">
        <f>IF(+J96&lt;F115,J96,D116)</f>
        <v>1963</v>
      </c>
      <c r="F116" s="163">
        <f t="shared" si="28"/>
        <v>54137</v>
      </c>
      <c r="G116" s="163">
        <f t="shared" si="29"/>
        <v>55118.5</v>
      </c>
      <c r="H116" s="167">
        <f t="shared" si="30"/>
        <v>7625.6303401494788</v>
      </c>
      <c r="I116" s="312">
        <f t="shared" si="31"/>
        <v>7625.6303401494788</v>
      </c>
      <c r="J116" s="162">
        <f t="shared" si="18"/>
        <v>0</v>
      </c>
      <c r="K116" s="162"/>
      <c r="L116" s="330"/>
      <c r="M116" s="162">
        <f t="shared" si="19"/>
        <v>0</v>
      </c>
      <c r="N116" s="330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2025</v>
      </c>
      <c r="D117" s="158">
        <f>IF(F116+SUM(E$99:E116)=D$92,F116,D$92-SUM(E$99:E116))</f>
        <v>54137</v>
      </c>
      <c r="E117" s="165">
        <f>IF(+J96&lt;F116,J96,D117)</f>
        <v>1963</v>
      </c>
      <c r="F117" s="163">
        <f t="shared" si="28"/>
        <v>52174</v>
      </c>
      <c r="G117" s="163">
        <f t="shared" si="29"/>
        <v>53155.5</v>
      </c>
      <c r="H117" s="167">
        <f t="shared" si="30"/>
        <v>7423.9604224682389</v>
      </c>
      <c r="I117" s="312">
        <f t="shared" si="31"/>
        <v>7423.9604224682389</v>
      </c>
      <c r="J117" s="162">
        <f t="shared" si="18"/>
        <v>0</v>
      </c>
      <c r="K117" s="162"/>
      <c r="L117" s="330"/>
      <c r="M117" s="162">
        <f t="shared" si="19"/>
        <v>0</v>
      </c>
      <c r="N117" s="330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2026</v>
      </c>
      <c r="D118" s="158">
        <f>IF(F117+SUM(E$99:E117)=D$92,F117,D$92-SUM(E$99:E117))</f>
        <v>52174</v>
      </c>
      <c r="E118" s="165">
        <f>IF(+J96&lt;F117,J96,D118)</f>
        <v>1963</v>
      </c>
      <c r="F118" s="163">
        <f t="shared" si="28"/>
        <v>50211</v>
      </c>
      <c r="G118" s="163">
        <f t="shared" si="29"/>
        <v>51192.5</v>
      </c>
      <c r="H118" s="167">
        <f t="shared" si="30"/>
        <v>7222.290504786999</v>
      </c>
      <c r="I118" s="312">
        <f t="shared" si="31"/>
        <v>7222.290504786999</v>
      </c>
      <c r="J118" s="162">
        <f t="shared" si="18"/>
        <v>0</v>
      </c>
      <c r="K118" s="162"/>
      <c r="L118" s="330"/>
      <c r="M118" s="162">
        <f t="shared" si="19"/>
        <v>0</v>
      </c>
      <c r="N118" s="330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2027</v>
      </c>
      <c r="D119" s="158">
        <f>IF(F118+SUM(E$99:E118)=D$92,F118,D$92-SUM(E$99:E118))</f>
        <v>50211</v>
      </c>
      <c r="E119" s="165">
        <f>IF(+J96&lt;F118,J96,D119)</f>
        <v>1963</v>
      </c>
      <c r="F119" s="163">
        <f t="shared" si="28"/>
        <v>48248</v>
      </c>
      <c r="G119" s="163">
        <f t="shared" si="29"/>
        <v>49229.5</v>
      </c>
      <c r="H119" s="167">
        <f t="shared" si="30"/>
        <v>7020.6205871057582</v>
      </c>
      <c r="I119" s="312">
        <f t="shared" si="31"/>
        <v>7020.6205871057582</v>
      </c>
      <c r="J119" s="162">
        <f t="shared" si="18"/>
        <v>0</v>
      </c>
      <c r="K119" s="162"/>
      <c r="L119" s="330"/>
      <c r="M119" s="162">
        <f t="shared" si="19"/>
        <v>0</v>
      </c>
      <c r="N119" s="330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2028</v>
      </c>
      <c r="D120" s="158">
        <f>IF(F119+SUM(E$99:E119)=D$92,F119,D$92-SUM(E$99:E119))</f>
        <v>48248</v>
      </c>
      <c r="E120" s="165">
        <f>IF(+J96&lt;F119,J96,D120)</f>
        <v>1963</v>
      </c>
      <c r="F120" s="163">
        <f t="shared" si="28"/>
        <v>46285</v>
      </c>
      <c r="G120" s="163">
        <f t="shared" si="29"/>
        <v>47266.5</v>
      </c>
      <c r="H120" s="167">
        <f t="shared" si="30"/>
        <v>6818.9506694245183</v>
      </c>
      <c r="I120" s="312">
        <f t="shared" si="31"/>
        <v>6818.9506694245183</v>
      </c>
      <c r="J120" s="162">
        <f t="shared" si="18"/>
        <v>0</v>
      </c>
      <c r="K120" s="162"/>
      <c r="L120" s="330"/>
      <c r="M120" s="162">
        <f t="shared" si="19"/>
        <v>0</v>
      </c>
      <c r="N120" s="330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2029</v>
      </c>
      <c r="D121" s="158">
        <f>IF(F120+SUM(E$99:E120)=D$92,F120,D$92-SUM(E$99:E120))</f>
        <v>46285</v>
      </c>
      <c r="E121" s="165">
        <f>IF(+J96&lt;F120,J96,D121)</f>
        <v>1963</v>
      </c>
      <c r="F121" s="163">
        <f t="shared" si="28"/>
        <v>44322</v>
      </c>
      <c r="G121" s="163">
        <f t="shared" si="29"/>
        <v>45303.5</v>
      </c>
      <c r="H121" s="167">
        <f t="shared" si="30"/>
        <v>6617.2807517432784</v>
      </c>
      <c r="I121" s="312">
        <f t="shared" si="31"/>
        <v>6617.2807517432784</v>
      </c>
      <c r="J121" s="162">
        <f t="shared" si="18"/>
        <v>0</v>
      </c>
      <c r="K121" s="162"/>
      <c r="L121" s="330"/>
      <c r="M121" s="162">
        <f t="shared" si="19"/>
        <v>0</v>
      </c>
      <c r="N121" s="330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2030</v>
      </c>
      <c r="D122" s="158">
        <f>IF(F121+SUM(E$99:E121)=D$92,F121,D$92-SUM(E$99:E121))</f>
        <v>44322</v>
      </c>
      <c r="E122" s="165">
        <f>IF(+J96&lt;F121,J96,D122)</f>
        <v>1963</v>
      </c>
      <c r="F122" s="163">
        <f t="shared" si="28"/>
        <v>42359</v>
      </c>
      <c r="G122" s="163">
        <f t="shared" si="29"/>
        <v>43340.5</v>
      </c>
      <c r="H122" s="167">
        <f t="shared" si="30"/>
        <v>6415.6108340620385</v>
      </c>
      <c r="I122" s="312">
        <f t="shared" si="31"/>
        <v>6415.6108340620385</v>
      </c>
      <c r="J122" s="162">
        <f t="shared" si="18"/>
        <v>0</v>
      </c>
      <c r="K122" s="162"/>
      <c r="L122" s="330"/>
      <c r="M122" s="162">
        <f t="shared" si="19"/>
        <v>0</v>
      </c>
      <c r="N122" s="330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2031</v>
      </c>
      <c r="D123" s="158">
        <f>IF(F122+SUM(E$99:E122)=D$92,F122,D$92-SUM(E$99:E122))</f>
        <v>42359</v>
      </c>
      <c r="E123" s="165">
        <f>IF(+J96&lt;F122,J96,D123)</f>
        <v>1963</v>
      </c>
      <c r="F123" s="163">
        <f t="shared" si="28"/>
        <v>40396</v>
      </c>
      <c r="G123" s="163">
        <f t="shared" si="29"/>
        <v>41377.5</v>
      </c>
      <c r="H123" s="167">
        <f t="shared" si="30"/>
        <v>6213.9409163807986</v>
      </c>
      <c r="I123" s="312">
        <f t="shared" si="31"/>
        <v>6213.9409163807986</v>
      </c>
      <c r="J123" s="162">
        <f t="shared" si="18"/>
        <v>0</v>
      </c>
      <c r="K123" s="162"/>
      <c r="L123" s="330"/>
      <c r="M123" s="162">
        <f t="shared" si="19"/>
        <v>0</v>
      </c>
      <c r="N123" s="330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2032</v>
      </c>
      <c r="D124" s="158">
        <f>IF(F123+SUM(E$99:E123)=D$92,F123,D$92-SUM(E$99:E123))</f>
        <v>40396</v>
      </c>
      <c r="E124" s="165">
        <f>IF(+J96&lt;F123,J96,D124)</f>
        <v>1963</v>
      </c>
      <c r="F124" s="163">
        <f t="shared" si="28"/>
        <v>38433</v>
      </c>
      <c r="G124" s="163">
        <f t="shared" si="29"/>
        <v>39414.5</v>
      </c>
      <c r="H124" s="167">
        <f t="shared" si="30"/>
        <v>6012.2709986995587</v>
      </c>
      <c r="I124" s="312">
        <f t="shared" si="31"/>
        <v>6012.2709986995587</v>
      </c>
      <c r="J124" s="162">
        <f t="shared" si="18"/>
        <v>0</v>
      </c>
      <c r="K124" s="162"/>
      <c r="L124" s="330"/>
      <c r="M124" s="162">
        <f t="shared" si="19"/>
        <v>0</v>
      </c>
      <c r="N124" s="330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2033</v>
      </c>
      <c r="D125" s="158">
        <f>IF(F124+SUM(E$99:E124)=D$92,F124,D$92-SUM(E$99:E124))</f>
        <v>38433</v>
      </c>
      <c r="E125" s="165">
        <f>IF(+J96&lt;F124,J96,D125)</f>
        <v>1963</v>
      </c>
      <c r="F125" s="163">
        <f t="shared" si="28"/>
        <v>36470</v>
      </c>
      <c r="G125" s="163">
        <f t="shared" si="29"/>
        <v>37451.5</v>
      </c>
      <c r="H125" s="167">
        <f t="shared" si="30"/>
        <v>5810.6010810183188</v>
      </c>
      <c r="I125" s="312">
        <f t="shared" si="31"/>
        <v>5810.6010810183188</v>
      </c>
      <c r="J125" s="162">
        <f t="shared" si="18"/>
        <v>0</v>
      </c>
      <c r="K125" s="162"/>
      <c r="L125" s="330"/>
      <c r="M125" s="162">
        <f t="shared" si="19"/>
        <v>0</v>
      </c>
      <c r="N125" s="330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2034</v>
      </c>
      <c r="D126" s="158">
        <f>IF(F125+SUM(E$99:E125)=D$92,F125,D$92-SUM(E$99:E125))</f>
        <v>36470</v>
      </c>
      <c r="E126" s="165">
        <f>IF(+J96&lt;F125,J96,D126)</f>
        <v>1963</v>
      </c>
      <c r="F126" s="163">
        <f t="shared" si="28"/>
        <v>34507</v>
      </c>
      <c r="G126" s="163">
        <f t="shared" si="29"/>
        <v>35488.5</v>
      </c>
      <c r="H126" s="167">
        <f t="shared" si="30"/>
        <v>5608.931163337078</v>
      </c>
      <c r="I126" s="312">
        <f t="shared" si="31"/>
        <v>5608.931163337078</v>
      </c>
      <c r="J126" s="162">
        <f t="shared" si="18"/>
        <v>0</v>
      </c>
      <c r="K126" s="162"/>
      <c r="L126" s="330"/>
      <c r="M126" s="162">
        <f t="shared" si="19"/>
        <v>0</v>
      </c>
      <c r="N126" s="330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2035</v>
      </c>
      <c r="D127" s="158">
        <f>IF(F126+SUM(E$99:E126)=D$92,F126,D$92-SUM(E$99:E126))</f>
        <v>34507</v>
      </c>
      <c r="E127" s="165">
        <f>IF(+J96&lt;F126,J96,D127)</f>
        <v>1963</v>
      </c>
      <c r="F127" s="163">
        <f t="shared" si="28"/>
        <v>32544</v>
      </c>
      <c r="G127" s="163">
        <f t="shared" si="29"/>
        <v>33525.5</v>
      </c>
      <c r="H127" s="167">
        <f t="shared" si="30"/>
        <v>5407.2612456558381</v>
      </c>
      <c r="I127" s="312">
        <f t="shared" si="31"/>
        <v>5407.2612456558381</v>
      </c>
      <c r="J127" s="162">
        <f t="shared" si="18"/>
        <v>0</v>
      </c>
      <c r="K127" s="162"/>
      <c r="L127" s="330"/>
      <c r="M127" s="162">
        <f t="shared" si="19"/>
        <v>0</v>
      </c>
      <c r="N127" s="330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2036</v>
      </c>
      <c r="D128" s="158">
        <f>IF(F127+SUM(E$99:E127)=D$92,F127,D$92-SUM(E$99:E127))</f>
        <v>32544</v>
      </c>
      <c r="E128" s="165">
        <f>IF(+J96&lt;F127,J96,D128)</f>
        <v>1963</v>
      </c>
      <c r="F128" s="163">
        <f t="shared" si="28"/>
        <v>30581</v>
      </c>
      <c r="G128" s="163">
        <f t="shared" si="29"/>
        <v>31562.5</v>
      </c>
      <c r="H128" s="167">
        <f t="shared" si="30"/>
        <v>5205.5913279745982</v>
      </c>
      <c r="I128" s="312">
        <f t="shared" si="31"/>
        <v>5205.5913279745982</v>
      </c>
      <c r="J128" s="162">
        <f t="shared" si="18"/>
        <v>0</v>
      </c>
      <c r="K128" s="162"/>
      <c r="L128" s="330"/>
      <c r="M128" s="162">
        <f t="shared" si="19"/>
        <v>0</v>
      </c>
      <c r="N128" s="330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2037</v>
      </c>
      <c r="D129" s="158">
        <f>IF(F128+SUM(E$99:E128)=D$92,F128,D$92-SUM(E$99:E128))</f>
        <v>30581</v>
      </c>
      <c r="E129" s="165">
        <f>IF(+J96&lt;F128,J96,D129)</f>
        <v>1963</v>
      </c>
      <c r="F129" s="163">
        <f t="shared" si="28"/>
        <v>28618</v>
      </c>
      <c r="G129" s="163">
        <f t="shared" si="29"/>
        <v>29599.5</v>
      </c>
      <c r="H129" s="167">
        <f t="shared" si="30"/>
        <v>5003.9214102933583</v>
      </c>
      <c r="I129" s="312">
        <f t="shared" si="31"/>
        <v>5003.9214102933583</v>
      </c>
      <c r="J129" s="162">
        <f t="shared" si="18"/>
        <v>0</v>
      </c>
      <c r="K129" s="162"/>
      <c r="L129" s="330"/>
      <c r="M129" s="162">
        <f t="shared" si="19"/>
        <v>0</v>
      </c>
      <c r="N129" s="330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2038</v>
      </c>
      <c r="D130" s="158">
        <f>IF(F129+SUM(E$99:E129)=D$92,F129,D$92-SUM(E$99:E129))</f>
        <v>28618</v>
      </c>
      <c r="E130" s="165">
        <f>IF(+J96&lt;F129,J96,D130)</f>
        <v>1963</v>
      </c>
      <c r="F130" s="163">
        <f t="shared" ref="F130:F153" si="32">+D130-E130</f>
        <v>26655</v>
      </c>
      <c r="G130" s="163">
        <f t="shared" ref="G130:G153" si="33">+(F130+D130)/2</f>
        <v>27636.5</v>
      </c>
      <c r="H130" s="167">
        <f t="shared" si="30"/>
        <v>4802.2514926121185</v>
      </c>
      <c r="I130" s="312">
        <f t="shared" si="31"/>
        <v>4802.2514926121185</v>
      </c>
      <c r="J130" s="162">
        <f t="shared" si="18"/>
        <v>0</v>
      </c>
      <c r="K130" s="162"/>
      <c r="L130" s="330"/>
      <c r="M130" s="162">
        <f t="shared" si="19"/>
        <v>0</v>
      </c>
      <c r="N130" s="330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2039</v>
      </c>
      <c r="D131" s="158">
        <f>IF(F130+SUM(E$99:E130)=D$92,F130,D$92-SUM(E$99:E130))</f>
        <v>26655</v>
      </c>
      <c r="E131" s="165">
        <f>IF(+J96&lt;F130,J96,D131)</f>
        <v>1963</v>
      </c>
      <c r="F131" s="163">
        <f t="shared" si="32"/>
        <v>24692</v>
      </c>
      <c r="G131" s="163">
        <f t="shared" si="33"/>
        <v>25673.5</v>
      </c>
      <c r="H131" s="167">
        <f t="shared" si="30"/>
        <v>4600.5815749308786</v>
      </c>
      <c r="I131" s="312">
        <f t="shared" si="31"/>
        <v>4600.5815749308786</v>
      </c>
      <c r="J131" s="162">
        <f t="shared" ref="J131:J154" si="34">+I382-H382</f>
        <v>0</v>
      </c>
      <c r="K131" s="162"/>
      <c r="L131" s="330"/>
      <c r="M131" s="162">
        <f t="shared" ref="M131:M154" si="35">IF(L382&lt;&gt;0,+H382-L382,0)</f>
        <v>0</v>
      </c>
      <c r="N131" s="330"/>
      <c r="O131" s="162">
        <f t="shared" ref="O131:O154" si="36">IF(N382&lt;&gt;0,+I382-N382,0)</f>
        <v>0</v>
      </c>
      <c r="P131" s="162">
        <f t="shared" ref="P131:P154" si="37">+O382-M382</f>
        <v>0</v>
      </c>
    </row>
    <row r="132" spans="2:16">
      <c r="B132" s="9" t="str">
        <f t="shared" si="22"/>
        <v/>
      </c>
      <c r="C132" s="157">
        <f>IF(D93="","-",+C131+1)</f>
        <v>2040</v>
      </c>
      <c r="D132" s="158">
        <f>IF(F131+SUM(E$99:E131)=D$92,F131,D$92-SUM(E$99:E131))</f>
        <v>24692</v>
      </c>
      <c r="E132" s="165">
        <f>IF(+J96&lt;F131,J96,D132)</f>
        <v>1963</v>
      </c>
      <c r="F132" s="163">
        <f t="shared" si="32"/>
        <v>22729</v>
      </c>
      <c r="G132" s="163">
        <f t="shared" si="33"/>
        <v>23710.5</v>
      </c>
      <c r="H132" s="167">
        <f t="shared" si="30"/>
        <v>4398.9116572496387</v>
      </c>
      <c r="I132" s="312">
        <f t="shared" si="31"/>
        <v>4398.9116572496387</v>
      </c>
      <c r="J132" s="162">
        <f t="shared" si="34"/>
        <v>0</v>
      </c>
      <c r="K132" s="162"/>
      <c r="L132" s="330"/>
      <c r="M132" s="162">
        <f t="shared" si="35"/>
        <v>0</v>
      </c>
      <c r="N132" s="330"/>
      <c r="O132" s="162">
        <f t="shared" si="36"/>
        <v>0</v>
      </c>
      <c r="P132" s="162">
        <f t="shared" si="37"/>
        <v>0</v>
      </c>
    </row>
    <row r="133" spans="2:16">
      <c r="B133" s="9" t="str">
        <f t="shared" si="22"/>
        <v/>
      </c>
      <c r="C133" s="157">
        <f>IF(D93="","-",+C132+1)</f>
        <v>2041</v>
      </c>
      <c r="D133" s="158">
        <f>IF(F132+SUM(E$99:E132)=D$92,F132,D$92-SUM(E$99:E132))</f>
        <v>22729</v>
      </c>
      <c r="E133" s="165">
        <f>IF(+J96&lt;F132,J96,D133)</f>
        <v>1963</v>
      </c>
      <c r="F133" s="163">
        <f t="shared" si="32"/>
        <v>20766</v>
      </c>
      <c r="G133" s="163">
        <f t="shared" si="33"/>
        <v>21747.5</v>
      </c>
      <c r="H133" s="167">
        <f t="shared" si="30"/>
        <v>4197.2417395683988</v>
      </c>
      <c r="I133" s="312">
        <f t="shared" si="31"/>
        <v>4197.2417395683988</v>
      </c>
      <c r="J133" s="162">
        <f t="shared" si="34"/>
        <v>0</v>
      </c>
      <c r="K133" s="162"/>
      <c r="L133" s="330"/>
      <c r="M133" s="162">
        <f t="shared" si="35"/>
        <v>0</v>
      </c>
      <c r="N133" s="330"/>
      <c r="O133" s="162">
        <f t="shared" si="36"/>
        <v>0</v>
      </c>
      <c r="P133" s="162">
        <f t="shared" si="37"/>
        <v>0</v>
      </c>
    </row>
    <row r="134" spans="2:16">
      <c r="B134" s="9" t="str">
        <f t="shared" si="22"/>
        <v/>
      </c>
      <c r="C134" s="157">
        <f>IF(D93="","-",+C133+1)</f>
        <v>2042</v>
      </c>
      <c r="D134" s="158">
        <f>IF(F133+SUM(E$99:E133)=D$92,F133,D$92-SUM(E$99:E133))</f>
        <v>20766</v>
      </c>
      <c r="E134" s="165">
        <f>IF(+J96&lt;F133,J96,D134)</f>
        <v>1963</v>
      </c>
      <c r="F134" s="163">
        <f t="shared" si="32"/>
        <v>18803</v>
      </c>
      <c r="G134" s="163">
        <f t="shared" si="33"/>
        <v>19784.5</v>
      </c>
      <c r="H134" s="167">
        <f t="shared" si="30"/>
        <v>3995.5718218871589</v>
      </c>
      <c r="I134" s="312">
        <f t="shared" si="31"/>
        <v>3995.5718218871589</v>
      </c>
      <c r="J134" s="162">
        <f t="shared" si="34"/>
        <v>0</v>
      </c>
      <c r="K134" s="162"/>
      <c r="L134" s="330"/>
      <c r="M134" s="162">
        <f t="shared" si="35"/>
        <v>0</v>
      </c>
      <c r="N134" s="330"/>
      <c r="O134" s="162">
        <f t="shared" si="36"/>
        <v>0</v>
      </c>
      <c r="P134" s="162">
        <f t="shared" si="37"/>
        <v>0</v>
      </c>
    </row>
    <row r="135" spans="2:16">
      <c r="B135" s="9" t="str">
        <f t="shared" si="22"/>
        <v/>
      </c>
      <c r="C135" s="157">
        <f>IF(D93="","-",+C134+1)</f>
        <v>2043</v>
      </c>
      <c r="D135" s="158">
        <f>IF(F134+SUM(E$99:E134)=D$92,F134,D$92-SUM(E$99:E134))</f>
        <v>18803</v>
      </c>
      <c r="E135" s="165">
        <f>IF(+J96&lt;F134,J96,D135)</f>
        <v>1963</v>
      </c>
      <c r="F135" s="163">
        <f t="shared" si="32"/>
        <v>16840</v>
      </c>
      <c r="G135" s="163">
        <f t="shared" si="33"/>
        <v>17821.5</v>
      </c>
      <c r="H135" s="167">
        <f t="shared" si="30"/>
        <v>3793.901904205919</v>
      </c>
      <c r="I135" s="312">
        <f t="shared" si="31"/>
        <v>3793.901904205919</v>
      </c>
      <c r="J135" s="162">
        <f t="shared" si="34"/>
        <v>0</v>
      </c>
      <c r="K135" s="162"/>
      <c r="L135" s="330"/>
      <c r="M135" s="162">
        <f t="shared" si="35"/>
        <v>0</v>
      </c>
      <c r="N135" s="330"/>
      <c r="O135" s="162">
        <f t="shared" si="36"/>
        <v>0</v>
      </c>
      <c r="P135" s="162">
        <f t="shared" si="37"/>
        <v>0</v>
      </c>
    </row>
    <row r="136" spans="2:16">
      <c r="B136" s="9" t="str">
        <f t="shared" si="22"/>
        <v/>
      </c>
      <c r="C136" s="157">
        <f>IF(D93="","-",+C135+1)</f>
        <v>2044</v>
      </c>
      <c r="D136" s="158">
        <f>IF(F135+SUM(E$99:E135)=D$92,F135,D$92-SUM(E$99:E135))</f>
        <v>16840</v>
      </c>
      <c r="E136" s="165">
        <f>IF(+J96&lt;F135,J96,D136)</f>
        <v>1963</v>
      </c>
      <c r="F136" s="163">
        <f t="shared" si="32"/>
        <v>14877</v>
      </c>
      <c r="G136" s="163">
        <f t="shared" si="33"/>
        <v>15858.5</v>
      </c>
      <c r="H136" s="167">
        <f t="shared" si="30"/>
        <v>3592.2319865246791</v>
      </c>
      <c r="I136" s="312">
        <f t="shared" si="31"/>
        <v>3592.2319865246791</v>
      </c>
      <c r="J136" s="162">
        <f t="shared" si="34"/>
        <v>0</v>
      </c>
      <c r="K136" s="162"/>
      <c r="L136" s="330"/>
      <c r="M136" s="162">
        <f t="shared" si="35"/>
        <v>0</v>
      </c>
      <c r="N136" s="330"/>
      <c r="O136" s="162">
        <f t="shared" si="36"/>
        <v>0</v>
      </c>
      <c r="P136" s="162">
        <f t="shared" si="37"/>
        <v>0</v>
      </c>
    </row>
    <row r="137" spans="2:16">
      <c r="B137" s="9" t="str">
        <f t="shared" si="22"/>
        <v/>
      </c>
      <c r="C137" s="157">
        <f>IF(D93="","-",+C136+1)</f>
        <v>2045</v>
      </c>
      <c r="D137" s="158">
        <f>IF(F136+SUM(E$99:E136)=D$92,F136,D$92-SUM(E$99:E136))</f>
        <v>14877</v>
      </c>
      <c r="E137" s="165">
        <f>IF(+J96&lt;F136,J96,D137)</f>
        <v>1963</v>
      </c>
      <c r="F137" s="163">
        <f t="shared" si="32"/>
        <v>12914</v>
      </c>
      <c r="G137" s="163">
        <f t="shared" si="33"/>
        <v>13895.5</v>
      </c>
      <c r="H137" s="167">
        <f t="shared" si="30"/>
        <v>3390.5620688434387</v>
      </c>
      <c r="I137" s="312">
        <f t="shared" si="31"/>
        <v>3390.5620688434387</v>
      </c>
      <c r="J137" s="162">
        <f t="shared" si="34"/>
        <v>0</v>
      </c>
      <c r="K137" s="162"/>
      <c r="L137" s="330"/>
      <c r="M137" s="162">
        <f t="shared" si="35"/>
        <v>0</v>
      </c>
      <c r="N137" s="330"/>
      <c r="O137" s="162">
        <f t="shared" si="36"/>
        <v>0</v>
      </c>
      <c r="P137" s="162">
        <f t="shared" si="37"/>
        <v>0</v>
      </c>
    </row>
    <row r="138" spans="2:16">
      <c r="B138" s="9" t="str">
        <f t="shared" si="22"/>
        <v/>
      </c>
      <c r="C138" s="157">
        <f>IF(D93="","-",+C137+1)</f>
        <v>2046</v>
      </c>
      <c r="D138" s="158">
        <f>IF(F137+SUM(E$99:E137)=D$92,F137,D$92-SUM(E$99:E137))</f>
        <v>12914</v>
      </c>
      <c r="E138" s="165">
        <f>IF(+J96&lt;F137,J96,D138)</f>
        <v>1963</v>
      </c>
      <c r="F138" s="163">
        <f t="shared" si="32"/>
        <v>10951</v>
      </c>
      <c r="G138" s="163">
        <f t="shared" si="33"/>
        <v>11932.5</v>
      </c>
      <c r="H138" s="167">
        <f t="shared" si="30"/>
        <v>3188.8921511621988</v>
      </c>
      <c r="I138" s="312">
        <f t="shared" si="31"/>
        <v>3188.8921511621988</v>
      </c>
      <c r="J138" s="162">
        <f t="shared" si="34"/>
        <v>0</v>
      </c>
      <c r="K138" s="162"/>
      <c r="L138" s="330"/>
      <c r="M138" s="162">
        <f t="shared" si="35"/>
        <v>0</v>
      </c>
      <c r="N138" s="330"/>
      <c r="O138" s="162">
        <f t="shared" si="36"/>
        <v>0</v>
      </c>
      <c r="P138" s="162">
        <f t="shared" si="37"/>
        <v>0</v>
      </c>
    </row>
    <row r="139" spans="2:16">
      <c r="B139" s="9" t="str">
        <f t="shared" si="22"/>
        <v/>
      </c>
      <c r="C139" s="157">
        <f>IF(D93="","-",+C138+1)</f>
        <v>2047</v>
      </c>
      <c r="D139" s="158">
        <f>IF(F138+SUM(E$99:E138)=D$92,F138,D$92-SUM(E$99:E138))</f>
        <v>10951</v>
      </c>
      <c r="E139" s="165">
        <f>IF(+J96&lt;F138,J96,D139)</f>
        <v>1963</v>
      </c>
      <c r="F139" s="163">
        <f t="shared" si="32"/>
        <v>8988</v>
      </c>
      <c r="G139" s="163">
        <f t="shared" si="33"/>
        <v>9969.5</v>
      </c>
      <c r="H139" s="167">
        <f t="shared" si="30"/>
        <v>2987.2222334809585</v>
      </c>
      <c r="I139" s="312">
        <f t="shared" si="31"/>
        <v>2987.2222334809585</v>
      </c>
      <c r="J139" s="162">
        <f t="shared" si="34"/>
        <v>0</v>
      </c>
      <c r="K139" s="162"/>
      <c r="L139" s="330"/>
      <c r="M139" s="162">
        <f t="shared" si="35"/>
        <v>0</v>
      </c>
      <c r="N139" s="330"/>
      <c r="O139" s="162">
        <f t="shared" si="36"/>
        <v>0</v>
      </c>
      <c r="P139" s="162">
        <f t="shared" si="37"/>
        <v>0</v>
      </c>
    </row>
    <row r="140" spans="2:16">
      <c r="B140" s="9" t="str">
        <f t="shared" si="22"/>
        <v/>
      </c>
      <c r="C140" s="157">
        <f>IF(D93="","-",+C139+1)</f>
        <v>2048</v>
      </c>
      <c r="D140" s="158">
        <f>IF(F139+SUM(E$99:E139)=D$92,F139,D$92-SUM(E$99:E139))</f>
        <v>8988</v>
      </c>
      <c r="E140" s="165">
        <f>IF(+J96&lt;F139,J96,D140)</f>
        <v>1963</v>
      </c>
      <c r="F140" s="163">
        <f t="shared" si="32"/>
        <v>7025</v>
      </c>
      <c r="G140" s="163">
        <f t="shared" si="33"/>
        <v>8006.5</v>
      </c>
      <c r="H140" s="167">
        <f t="shared" si="30"/>
        <v>2785.5523157997186</v>
      </c>
      <c r="I140" s="312">
        <f t="shared" si="31"/>
        <v>2785.5523157997186</v>
      </c>
      <c r="J140" s="162">
        <f t="shared" si="34"/>
        <v>0</v>
      </c>
      <c r="K140" s="162"/>
      <c r="L140" s="330"/>
      <c r="M140" s="162">
        <f t="shared" si="35"/>
        <v>0</v>
      </c>
      <c r="N140" s="330"/>
      <c r="O140" s="162">
        <f t="shared" si="36"/>
        <v>0</v>
      </c>
      <c r="P140" s="162">
        <f t="shared" si="37"/>
        <v>0</v>
      </c>
    </row>
    <row r="141" spans="2:16">
      <c r="B141" s="9" t="str">
        <f t="shared" si="22"/>
        <v/>
      </c>
      <c r="C141" s="157">
        <f>IF(D93="","-",+C140+1)</f>
        <v>2049</v>
      </c>
      <c r="D141" s="158">
        <f>IF(F140+SUM(E$99:E140)=D$92,F140,D$92-SUM(E$99:E140))</f>
        <v>7025</v>
      </c>
      <c r="E141" s="165">
        <f>IF(+J96&lt;F140,J96,D141)</f>
        <v>1963</v>
      </c>
      <c r="F141" s="163">
        <f t="shared" si="32"/>
        <v>5062</v>
      </c>
      <c r="G141" s="163">
        <f t="shared" si="33"/>
        <v>6043.5</v>
      </c>
      <c r="H141" s="167">
        <f t="shared" si="30"/>
        <v>2583.8823981184787</v>
      </c>
      <c r="I141" s="312">
        <f t="shared" si="31"/>
        <v>2583.8823981184787</v>
      </c>
      <c r="J141" s="162">
        <f t="shared" si="34"/>
        <v>0</v>
      </c>
      <c r="K141" s="162"/>
      <c r="L141" s="330"/>
      <c r="M141" s="162">
        <f t="shared" si="35"/>
        <v>0</v>
      </c>
      <c r="N141" s="330"/>
      <c r="O141" s="162">
        <f t="shared" si="36"/>
        <v>0</v>
      </c>
      <c r="P141" s="162">
        <f t="shared" si="37"/>
        <v>0</v>
      </c>
    </row>
    <row r="142" spans="2:16">
      <c r="B142" s="9" t="str">
        <f t="shared" si="22"/>
        <v/>
      </c>
      <c r="C142" s="157">
        <f>IF(D93="","-",+C141+1)</f>
        <v>2050</v>
      </c>
      <c r="D142" s="158">
        <f>IF(F141+SUM(E$99:E141)=D$92,F141,D$92-SUM(E$99:E141))</f>
        <v>5062</v>
      </c>
      <c r="E142" s="165">
        <f>IF(+J96&lt;F141,J96,D142)</f>
        <v>1963</v>
      </c>
      <c r="F142" s="163">
        <f t="shared" si="32"/>
        <v>3099</v>
      </c>
      <c r="G142" s="163">
        <f t="shared" si="33"/>
        <v>4080.5</v>
      </c>
      <c r="H142" s="167">
        <f t="shared" si="30"/>
        <v>2382.2124804372388</v>
      </c>
      <c r="I142" s="312">
        <f t="shared" si="31"/>
        <v>2382.2124804372388</v>
      </c>
      <c r="J142" s="162">
        <f t="shared" si="34"/>
        <v>0</v>
      </c>
      <c r="K142" s="162"/>
      <c r="L142" s="330"/>
      <c r="M142" s="162">
        <f t="shared" si="35"/>
        <v>0</v>
      </c>
      <c r="N142" s="330"/>
      <c r="O142" s="162">
        <f t="shared" si="36"/>
        <v>0</v>
      </c>
      <c r="P142" s="162">
        <f t="shared" si="37"/>
        <v>0</v>
      </c>
    </row>
    <row r="143" spans="2:16">
      <c r="B143" s="9" t="str">
        <f t="shared" si="22"/>
        <v/>
      </c>
      <c r="C143" s="157">
        <f>IF(D93="","-",+C142+1)</f>
        <v>2051</v>
      </c>
      <c r="D143" s="158">
        <f>IF(F142+SUM(E$99:E142)=D$92,F142,D$92-SUM(E$99:E142))</f>
        <v>3099</v>
      </c>
      <c r="E143" s="165">
        <f>IF(+J96&lt;F142,J96,D143)</f>
        <v>1963</v>
      </c>
      <c r="F143" s="163">
        <f t="shared" si="32"/>
        <v>1136</v>
      </c>
      <c r="G143" s="163">
        <f t="shared" si="33"/>
        <v>2117.5</v>
      </c>
      <c r="H143" s="167">
        <f t="shared" si="30"/>
        <v>2180.5425627559989</v>
      </c>
      <c r="I143" s="312">
        <f t="shared" si="31"/>
        <v>2180.5425627559989</v>
      </c>
      <c r="J143" s="162">
        <f t="shared" si="34"/>
        <v>0</v>
      </c>
      <c r="K143" s="162"/>
      <c r="L143" s="330"/>
      <c r="M143" s="162">
        <f t="shared" si="35"/>
        <v>0</v>
      </c>
      <c r="N143" s="330"/>
      <c r="O143" s="162">
        <f t="shared" si="36"/>
        <v>0</v>
      </c>
      <c r="P143" s="162">
        <f t="shared" si="37"/>
        <v>0</v>
      </c>
    </row>
    <row r="144" spans="2:16">
      <c r="B144" s="9" t="str">
        <f t="shared" si="22"/>
        <v/>
      </c>
      <c r="C144" s="157">
        <f>IF(D93="","-",+C143+1)</f>
        <v>2052</v>
      </c>
      <c r="D144" s="158">
        <f>IF(F143+SUM(E$99:E143)=D$92,F143,D$92-SUM(E$99:E143))</f>
        <v>1136</v>
      </c>
      <c r="E144" s="165">
        <f>IF(+J96&lt;F143,J96,D144)</f>
        <v>1136</v>
      </c>
      <c r="F144" s="163">
        <f t="shared" si="32"/>
        <v>0</v>
      </c>
      <c r="G144" s="163">
        <f t="shared" si="33"/>
        <v>568</v>
      </c>
      <c r="H144" s="167">
        <f t="shared" si="30"/>
        <v>1194.3538019576895</v>
      </c>
      <c r="I144" s="312">
        <f t="shared" si="31"/>
        <v>1194.3538019576895</v>
      </c>
      <c r="J144" s="162">
        <f t="shared" si="34"/>
        <v>0</v>
      </c>
      <c r="K144" s="162"/>
      <c r="L144" s="330"/>
      <c r="M144" s="162">
        <f t="shared" si="35"/>
        <v>0</v>
      </c>
      <c r="N144" s="330"/>
      <c r="O144" s="162">
        <f t="shared" si="36"/>
        <v>0</v>
      </c>
      <c r="P144" s="162">
        <f t="shared" si="37"/>
        <v>0</v>
      </c>
    </row>
    <row r="145" spans="2:16">
      <c r="B145" s="9" t="str">
        <f t="shared" si="22"/>
        <v/>
      </c>
      <c r="C145" s="157">
        <f>IF(D93="","-",+C144+1)</f>
        <v>2053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2"/>
        <v>0</v>
      </c>
      <c r="G145" s="163">
        <f t="shared" si="33"/>
        <v>0</v>
      </c>
      <c r="H145" s="167">
        <f t="shared" si="30"/>
        <v>0</v>
      </c>
      <c r="I145" s="312">
        <f t="shared" si="31"/>
        <v>0</v>
      </c>
      <c r="J145" s="162">
        <f t="shared" si="34"/>
        <v>0</v>
      </c>
      <c r="K145" s="162"/>
      <c r="L145" s="330"/>
      <c r="M145" s="162">
        <f t="shared" si="35"/>
        <v>0</v>
      </c>
      <c r="N145" s="330"/>
      <c r="O145" s="162">
        <f t="shared" si="36"/>
        <v>0</v>
      </c>
      <c r="P145" s="162">
        <f t="shared" si="37"/>
        <v>0</v>
      </c>
    </row>
    <row r="146" spans="2:16">
      <c r="B146" s="9" t="str">
        <f t="shared" si="22"/>
        <v/>
      </c>
      <c r="C146" s="157">
        <f>IF(D93="","-",+C145+1)</f>
        <v>2054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2"/>
        <v>0</v>
      </c>
      <c r="G146" s="163">
        <f t="shared" si="33"/>
        <v>0</v>
      </c>
      <c r="H146" s="167">
        <f t="shared" si="30"/>
        <v>0</v>
      </c>
      <c r="I146" s="312">
        <f t="shared" si="31"/>
        <v>0</v>
      </c>
      <c r="J146" s="162">
        <f t="shared" si="34"/>
        <v>0</v>
      </c>
      <c r="K146" s="162"/>
      <c r="L146" s="330"/>
      <c r="M146" s="162">
        <f t="shared" si="35"/>
        <v>0</v>
      </c>
      <c r="N146" s="330"/>
      <c r="O146" s="162">
        <f t="shared" si="36"/>
        <v>0</v>
      </c>
      <c r="P146" s="162">
        <f t="shared" si="37"/>
        <v>0</v>
      </c>
    </row>
    <row r="147" spans="2:16">
      <c r="B147" s="9" t="str">
        <f t="shared" si="22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2"/>
        <v>0</v>
      </c>
      <c r="G147" s="163">
        <f t="shared" si="33"/>
        <v>0</v>
      </c>
      <c r="H147" s="167">
        <f t="shared" si="30"/>
        <v>0</v>
      </c>
      <c r="I147" s="312">
        <f t="shared" si="31"/>
        <v>0</v>
      </c>
      <c r="J147" s="162">
        <f t="shared" si="34"/>
        <v>0</v>
      </c>
      <c r="K147" s="162"/>
      <c r="L147" s="330"/>
      <c r="M147" s="162">
        <f t="shared" si="35"/>
        <v>0</v>
      </c>
      <c r="N147" s="330"/>
      <c r="O147" s="162">
        <f t="shared" si="36"/>
        <v>0</v>
      </c>
      <c r="P147" s="162">
        <f t="shared" si="37"/>
        <v>0</v>
      </c>
    </row>
    <row r="148" spans="2:16">
      <c r="B148" s="9" t="str">
        <f t="shared" si="22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2"/>
        <v>0</v>
      </c>
      <c r="G148" s="163">
        <f t="shared" si="33"/>
        <v>0</v>
      </c>
      <c r="H148" s="167">
        <f t="shared" si="30"/>
        <v>0</v>
      </c>
      <c r="I148" s="312">
        <f t="shared" si="31"/>
        <v>0</v>
      </c>
      <c r="J148" s="162">
        <f t="shared" si="34"/>
        <v>0</v>
      </c>
      <c r="K148" s="162"/>
      <c r="L148" s="330"/>
      <c r="M148" s="162">
        <f t="shared" si="35"/>
        <v>0</v>
      </c>
      <c r="N148" s="330"/>
      <c r="O148" s="162">
        <f t="shared" si="36"/>
        <v>0</v>
      </c>
      <c r="P148" s="162">
        <f t="shared" si="37"/>
        <v>0</v>
      </c>
    </row>
    <row r="149" spans="2:16">
      <c r="B149" s="9" t="str">
        <f t="shared" si="22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2"/>
        <v>0</v>
      </c>
      <c r="G149" s="163">
        <f t="shared" si="33"/>
        <v>0</v>
      </c>
      <c r="H149" s="167">
        <f t="shared" si="30"/>
        <v>0</v>
      </c>
      <c r="I149" s="312">
        <f t="shared" si="31"/>
        <v>0</v>
      </c>
      <c r="J149" s="162">
        <f t="shared" si="34"/>
        <v>0</v>
      </c>
      <c r="K149" s="162"/>
      <c r="L149" s="330"/>
      <c r="M149" s="162">
        <f t="shared" si="35"/>
        <v>0</v>
      </c>
      <c r="N149" s="330"/>
      <c r="O149" s="162">
        <f t="shared" si="36"/>
        <v>0</v>
      </c>
      <c r="P149" s="162">
        <f t="shared" si="37"/>
        <v>0</v>
      </c>
    </row>
    <row r="150" spans="2:16">
      <c r="B150" s="9" t="str">
        <f t="shared" si="22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2"/>
        <v>0</v>
      </c>
      <c r="G150" s="163">
        <f t="shared" si="33"/>
        <v>0</v>
      </c>
      <c r="H150" s="167">
        <f t="shared" si="30"/>
        <v>0</v>
      </c>
      <c r="I150" s="312">
        <f t="shared" si="31"/>
        <v>0</v>
      </c>
      <c r="J150" s="162">
        <f t="shared" si="34"/>
        <v>0</v>
      </c>
      <c r="K150" s="162"/>
      <c r="L150" s="330"/>
      <c r="M150" s="162">
        <f t="shared" si="35"/>
        <v>0</v>
      </c>
      <c r="N150" s="330"/>
      <c r="O150" s="162">
        <f t="shared" si="36"/>
        <v>0</v>
      </c>
      <c r="P150" s="162">
        <f t="shared" si="37"/>
        <v>0</v>
      </c>
    </row>
    <row r="151" spans="2:16">
      <c r="B151" s="9" t="str">
        <f t="shared" si="22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2"/>
        <v>0</v>
      </c>
      <c r="G151" s="163">
        <f t="shared" si="33"/>
        <v>0</v>
      </c>
      <c r="H151" s="167">
        <f t="shared" si="30"/>
        <v>0</v>
      </c>
      <c r="I151" s="312">
        <f t="shared" si="31"/>
        <v>0</v>
      </c>
      <c r="J151" s="162">
        <f t="shared" si="34"/>
        <v>0</v>
      </c>
      <c r="K151" s="162"/>
      <c r="L151" s="330"/>
      <c r="M151" s="162">
        <f t="shared" si="35"/>
        <v>0</v>
      </c>
      <c r="N151" s="330"/>
      <c r="O151" s="162">
        <f t="shared" si="36"/>
        <v>0</v>
      </c>
      <c r="P151" s="162">
        <f t="shared" si="37"/>
        <v>0</v>
      </c>
    </row>
    <row r="152" spans="2:16">
      <c r="B152" s="9" t="str">
        <f t="shared" si="22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2"/>
        <v>0</v>
      </c>
      <c r="G152" s="163">
        <f t="shared" si="33"/>
        <v>0</v>
      </c>
      <c r="H152" s="167">
        <f t="shared" si="30"/>
        <v>0</v>
      </c>
      <c r="I152" s="312">
        <f t="shared" si="31"/>
        <v>0</v>
      </c>
      <c r="J152" s="162">
        <f t="shared" si="34"/>
        <v>0</v>
      </c>
      <c r="K152" s="162"/>
      <c r="L152" s="330"/>
      <c r="M152" s="162">
        <f t="shared" si="35"/>
        <v>0</v>
      </c>
      <c r="N152" s="330"/>
      <c r="O152" s="162">
        <f t="shared" si="36"/>
        <v>0</v>
      </c>
      <c r="P152" s="162">
        <f t="shared" si="37"/>
        <v>0</v>
      </c>
    </row>
    <row r="153" spans="2:16">
      <c r="B153" s="9" t="str">
        <f t="shared" si="22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2"/>
        <v>0</v>
      </c>
      <c r="G153" s="163">
        <f t="shared" si="33"/>
        <v>0</v>
      </c>
      <c r="H153" s="167">
        <f t="shared" si="30"/>
        <v>0</v>
      </c>
      <c r="I153" s="312">
        <f t="shared" si="31"/>
        <v>0</v>
      </c>
      <c r="J153" s="162">
        <f t="shared" si="34"/>
        <v>0</v>
      </c>
      <c r="K153" s="162"/>
      <c r="L153" s="330"/>
      <c r="M153" s="162">
        <f t="shared" si="35"/>
        <v>0</v>
      </c>
      <c r="N153" s="330"/>
      <c r="O153" s="162">
        <f t="shared" si="36"/>
        <v>0</v>
      </c>
      <c r="P153" s="162">
        <f t="shared" si="37"/>
        <v>0</v>
      </c>
    </row>
    <row r="154" spans="2:16" ht="13.5" thickBot="1">
      <c r="B154" s="9" t="str">
        <f t="shared" si="22"/>
        <v/>
      </c>
      <c r="C154" s="168">
        <f>IF(D93="","-",+C153+1)</f>
        <v>2062</v>
      </c>
      <c r="D154" s="219">
        <f>IF(F153+SUM(E$99:E153)=D$92,F153,D$92-SUM(E$99:E153))</f>
        <v>0</v>
      </c>
      <c r="E154" s="372">
        <f>IF(+J96&lt;F153,J96,D154)</f>
        <v>0</v>
      </c>
      <c r="F154" s="169">
        <f>+D154-E154</f>
        <v>0</v>
      </c>
      <c r="G154" s="169">
        <f>+(F154+D154)/2</f>
        <v>0</v>
      </c>
      <c r="H154" s="171">
        <f t="shared" si="30"/>
        <v>0</v>
      </c>
      <c r="I154" s="313">
        <f t="shared" si="31"/>
        <v>0</v>
      </c>
      <c r="J154" s="173">
        <f t="shared" si="34"/>
        <v>0</v>
      </c>
      <c r="K154" s="162"/>
      <c r="L154" s="331"/>
      <c r="M154" s="173">
        <f t="shared" si="35"/>
        <v>0</v>
      </c>
      <c r="N154" s="331"/>
      <c r="O154" s="173">
        <f t="shared" si="36"/>
        <v>0</v>
      </c>
      <c r="P154" s="173">
        <f t="shared" si="37"/>
        <v>0</v>
      </c>
    </row>
    <row r="155" spans="2:16">
      <c r="C155" s="158" t="s">
        <v>77</v>
      </c>
      <c r="D155" s="115"/>
      <c r="E155" s="115">
        <f>SUM(E99:E154)</f>
        <v>84424</v>
      </c>
      <c r="F155" s="115"/>
      <c r="G155" s="115"/>
      <c r="H155" s="115">
        <f>SUM(H99:H154)</f>
        <v>314370.27804333036</v>
      </c>
      <c r="I155" s="115">
        <f>SUM(I99:I154)</f>
        <v>314370.27804333036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148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view="pageBreakPreview" zoomScale="75" zoomScaleNormal="100" workbookViewId="0">
      <selection activeCell="D29" sqref="D29:H2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8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6986.5540517513546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6986.5540517513546</v>
      </c>
      <c r="O6" s="1"/>
      <c r="P6" s="1"/>
    </row>
    <row r="7" spans="1:16" ht="13.5" thickBot="1">
      <c r="C7" s="127" t="s">
        <v>46</v>
      </c>
      <c r="D7" s="338" t="s">
        <v>215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87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56133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2006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3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1247.4000000000001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2006</v>
      </c>
      <c r="D17" s="361">
        <v>56133</v>
      </c>
      <c r="E17" s="362">
        <v>752</v>
      </c>
      <c r="F17" s="361">
        <v>55381</v>
      </c>
      <c r="G17" s="362">
        <v>0</v>
      </c>
      <c r="H17" s="365">
        <v>0</v>
      </c>
      <c r="I17" s="160">
        <f t="shared" ref="I17:I48" si="0">H17-G17</f>
        <v>0</v>
      </c>
      <c r="J17" s="160"/>
      <c r="K17" s="332">
        <v>0</v>
      </c>
      <c r="L17" s="161">
        <f t="shared" ref="L17:L48" si="1">IF(K17&lt;&gt;0,+G17-K17,0)</f>
        <v>0</v>
      </c>
      <c r="M17" s="332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2007</v>
      </c>
      <c r="D18" s="366">
        <v>55381</v>
      </c>
      <c r="E18" s="363">
        <v>1002</v>
      </c>
      <c r="F18" s="366">
        <v>54379</v>
      </c>
      <c r="G18" s="363">
        <v>0</v>
      </c>
      <c r="H18" s="365">
        <v>0</v>
      </c>
      <c r="I18" s="160">
        <f t="shared" si="0"/>
        <v>0</v>
      </c>
      <c r="J18" s="160"/>
      <c r="K18" s="333">
        <v>0</v>
      </c>
      <c r="L18" s="162">
        <f t="shared" si="1"/>
        <v>0</v>
      </c>
      <c r="M18" s="333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2008</v>
      </c>
      <c r="D19" s="366">
        <v>54379</v>
      </c>
      <c r="E19" s="363">
        <v>1002</v>
      </c>
      <c r="F19" s="366">
        <v>53377</v>
      </c>
      <c r="G19" s="363">
        <v>0</v>
      </c>
      <c r="H19" s="365">
        <v>0</v>
      </c>
      <c r="I19" s="160">
        <f t="shared" si="0"/>
        <v>0</v>
      </c>
      <c r="J19" s="160"/>
      <c r="K19" s="333">
        <v>0</v>
      </c>
      <c r="L19" s="162">
        <f t="shared" si="1"/>
        <v>0</v>
      </c>
      <c r="M19" s="333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2009</v>
      </c>
      <c r="D20" s="366">
        <v>53377</v>
      </c>
      <c r="E20" s="363">
        <v>1002</v>
      </c>
      <c r="F20" s="366">
        <v>52375</v>
      </c>
      <c r="G20" s="363">
        <v>0</v>
      </c>
      <c r="H20" s="365">
        <v>0</v>
      </c>
      <c r="I20" s="160">
        <f t="shared" si="0"/>
        <v>0</v>
      </c>
      <c r="J20" s="160"/>
      <c r="K20" s="333">
        <v>0</v>
      </c>
      <c r="L20" s="162">
        <f t="shared" si="1"/>
        <v>0</v>
      </c>
      <c r="M20" s="333">
        <v>0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2010</v>
      </c>
      <c r="D21" s="366">
        <v>52375</v>
      </c>
      <c r="E21" s="363">
        <v>1002.375</v>
      </c>
      <c r="F21" s="366">
        <v>51372.625</v>
      </c>
      <c r="G21" s="363">
        <v>8415.2657154769768</v>
      </c>
      <c r="H21" s="365">
        <v>8415.2657154769768</v>
      </c>
      <c r="I21" s="160">
        <f t="shared" si="0"/>
        <v>0</v>
      </c>
      <c r="J21" s="160"/>
      <c r="K21" s="333">
        <f t="shared" ref="K21:K26" si="5">G21</f>
        <v>8415.2657154769768</v>
      </c>
      <c r="L21" s="269">
        <f t="shared" si="1"/>
        <v>0</v>
      </c>
      <c r="M21" s="333">
        <f t="shared" ref="M21:M26" si="6">H21</f>
        <v>8415.2657154769768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2011</v>
      </c>
      <c r="D22" s="366">
        <v>51372.625</v>
      </c>
      <c r="E22" s="363">
        <v>1100.6470588235295</v>
      </c>
      <c r="F22" s="366">
        <v>50271.977941176468</v>
      </c>
      <c r="G22" s="363">
        <v>8970.3904929935452</v>
      </c>
      <c r="H22" s="365">
        <v>8970.3904929935452</v>
      </c>
      <c r="I22" s="160">
        <f t="shared" si="0"/>
        <v>0</v>
      </c>
      <c r="J22" s="160"/>
      <c r="K22" s="333">
        <f t="shared" si="5"/>
        <v>8970.3904929935452</v>
      </c>
      <c r="L22" s="269">
        <f t="shared" si="1"/>
        <v>0</v>
      </c>
      <c r="M22" s="333">
        <f t="shared" si="6"/>
        <v>8970.3904929935452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2012</v>
      </c>
      <c r="D23" s="366">
        <v>50271.977941176468</v>
      </c>
      <c r="E23" s="363">
        <v>1079.4807692307693</v>
      </c>
      <c r="F23" s="366">
        <v>49192.497171945703</v>
      </c>
      <c r="G23" s="363">
        <v>7927.4076335998161</v>
      </c>
      <c r="H23" s="365">
        <v>7927.4076335998161</v>
      </c>
      <c r="I23" s="160">
        <f t="shared" si="0"/>
        <v>0</v>
      </c>
      <c r="J23" s="160"/>
      <c r="K23" s="333">
        <f t="shared" si="5"/>
        <v>7927.4076335998161</v>
      </c>
      <c r="L23" s="269">
        <f t="shared" si="1"/>
        <v>0</v>
      </c>
      <c r="M23" s="333">
        <f t="shared" si="6"/>
        <v>7927.4076335998161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4"/>
        <v/>
      </c>
      <c r="C24" s="157">
        <f>IF(D11="","-",+C23+1)</f>
        <v>2013</v>
      </c>
      <c r="D24" s="366">
        <v>49192.497171945703</v>
      </c>
      <c r="E24" s="363">
        <v>1079.4807692307693</v>
      </c>
      <c r="F24" s="366">
        <v>48113.016402714937</v>
      </c>
      <c r="G24" s="363">
        <v>7950.3447729090094</v>
      </c>
      <c r="H24" s="365">
        <v>7950.3447729090094</v>
      </c>
      <c r="I24" s="160">
        <v>0</v>
      </c>
      <c r="J24" s="160"/>
      <c r="K24" s="333">
        <f t="shared" si="5"/>
        <v>7950.3447729090094</v>
      </c>
      <c r="L24" s="269">
        <f t="shared" ref="L24:L29" si="7">IF(K24&lt;&gt;0,+G24-K24,0)</f>
        <v>0</v>
      </c>
      <c r="M24" s="333">
        <f t="shared" si="6"/>
        <v>7950.3447729090094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4"/>
        <v/>
      </c>
      <c r="C25" s="157">
        <f>IF(D11="","-",+C24+1)</f>
        <v>2014</v>
      </c>
      <c r="D25" s="366">
        <v>48113.016402714937</v>
      </c>
      <c r="E25" s="363">
        <v>1079.4807692307693</v>
      </c>
      <c r="F25" s="366">
        <v>47033.535633484171</v>
      </c>
      <c r="G25" s="363">
        <v>7554.0593246775043</v>
      </c>
      <c r="H25" s="365">
        <v>7554.0593246775043</v>
      </c>
      <c r="I25" s="160">
        <v>0</v>
      </c>
      <c r="J25" s="160"/>
      <c r="K25" s="333">
        <f t="shared" si="5"/>
        <v>7554.0593246775043</v>
      </c>
      <c r="L25" s="269">
        <f t="shared" si="7"/>
        <v>0</v>
      </c>
      <c r="M25" s="333">
        <f t="shared" si="6"/>
        <v>7554.0593246775043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2015</v>
      </c>
      <c r="D26" s="366">
        <v>47033.535633484171</v>
      </c>
      <c r="E26" s="363">
        <v>1079.4807692307693</v>
      </c>
      <c r="F26" s="366">
        <v>45954.054864253405</v>
      </c>
      <c r="G26" s="363">
        <v>7415.24244849963</v>
      </c>
      <c r="H26" s="365">
        <v>7415.24244849963</v>
      </c>
      <c r="I26" s="160">
        <v>0</v>
      </c>
      <c r="J26" s="160"/>
      <c r="K26" s="333">
        <f t="shared" si="5"/>
        <v>7415.24244849963</v>
      </c>
      <c r="L26" s="269">
        <f t="shared" si="7"/>
        <v>0</v>
      </c>
      <c r="M26" s="333">
        <f t="shared" si="6"/>
        <v>7415.24244849963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2016</v>
      </c>
      <c r="D27" s="366">
        <v>45954.054864253405</v>
      </c>
      <c r="E27" s="363">
        <v>1079.4807692307693</v>
      </c>
      <c r="F27" s="366">
        <v>44874.574095022639</v>
      </c>
      <c r="G27" s="363">
        <v>6965.2134846377958</v>
      </c>
      <c r="H27" s="365">
        <v>6965.2134846377958</v>
      </c>
      <c r="I27" s="160">
        <f t="shared" si="0"/>
        <v>0</v>
      </c>
      <c r="J27" s="160"/>
      <c r="K27" s="333">
        <f>G27</f>
        <v>6965.2134846377958</v>
      </c>
      <c r="L27" s="269">
        <f t="shared" si="7"/>
        <v>0</v>
      </c>
      <c r="M27" s="333">
        <f>H27</f>
        <v>6965.2134846377958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2017</v>
      </c>
      <c r="D28" s="366">
        <v>44874.574095022639</v>
      </c>
      <c r="E28" s="363">
        <v>1220.2826086956522</v>
      </c>
      <c r="F28" s="366">
        <v>43654.291486326983</v>
      </c>
      <c r="G28" s="363">
        <v>6775.7563240948048</v>
      </c>
      <c r="H28" s="365">
        <v>6775.7563240948048</v>
      </c>
      <c r="I28" s="160">
        <f t="shared" si="0"/>
        <v>0</v>
      </c>
      <c r="J28" s="160"/>
      <c r="K28" s="333">
        <f>G28</f>
        <v>6775.7563240948048</v>
      </c>
      <c r="L28" s="269">
        <f t="shared" si="7"/>
        <v>0</v>
      </c>
      <c r="M28" s="333">
        <f>H28</f>
        <v>6775.7563240948048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2018</v>
      </c>
      <c r="D29" s="366">
        <v>43654.291486326983</v>
      </c>
      <c r="E29" s="363">
        <v>1247.4000000000001</v>
      </c>
      <c r="F29" s="366">
        <v>42406.891486326982</v>
      </c>
      <c r="G29" s="363">
        <v>6986.5540517513546</v>
      </c>
      <c r="H29" s="365">
        <v>6986.5540517513546</v>
      </c>
      <c r="I29" s="160">
        <f t="shared" si="0"/>
        <v>0</v>
      </c>
      <c r="J29" s="160"/>
      <c r="K29" s="333">
        <f>G29</f>
        <v>6986.5540517513546</v>
      </c>
      <c r="L29" s="269">
        <f t="shared" si="7"/>
        <v>0</v>
      </c>
      <c r="M29" s="333">
        <f>H29</f>
        <v>6986.5540517513546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4"/>
        <v/>
      </c>
      <c r="C30" s="157">
        <f>IF(D11="","-",+C29+1)</f>
        <v>2019</v>
      </c>
      <c r="D30" s="163">
        <f>IF(F29+SUM(E$17:E29)=D$10,F29,D$10-SUM(E$17:E29))</f>
        <v>42406.891486326982</v>
      </c>
      <c r="E30" s="164">
        <f>IF(+I14&lt;F29,I14,D30)</f>
        <v>1247.4000000000001</v>
      </c>
      <c r="F30" s="163">
        <f t="shared" ref="F30:F48" si="10">+D30-E30</f>
        <v>41159.491486326981</v>
      </c>
      <c r="G30" s="165">
        <f t="shared" ref="G30:G72" si="11">+I$12*F30+E30</f>
        <v>6817.7366611519319</v>
      </c>
      <c r="H30" s="147">
        <f t="shared" ref="H30:H72" si="12">+I$13*F30+E30</f>
        <v>6817.7366611519319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2020</v>
      </c>
      <c r="D31" s="163">
        <f>IF(F30+SUM(E$17:E30)=D$10,F30,D$10-SUM(E$17:E30))</f>
        <v>41159.491486326981</v>
      </c>
      <c r="E31" s="164">
        <f>IF(+I14&lt;F30,I14,D31)</f>
        <v>1247.4000000000001</v>
      </c>
      <c r="F31" s="163">
        <f t="shared" si="10"/>
        <v>39912.091486326979</v>
      </c>
      <c r="G31" s="165">
        <f t="shared" si="11"/>
        <v>6648.9192705525074</v>
      </c>
      <c r="H31" s="147">
        <f t="shared" si="12"/>
        <v>6648.9192705525074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2021</v>
      </c>
      <c r="D32" s="163">
        <f>IF(F31+SUM(E$17:E31)=D$10,F31,D$10-SUM(E$17:E31))</f>
        <v>39912.091486326979</v>
      </c>
      <c r="E32" s="164">
        <f>IF(+I14&lt;F31,I14,D32)</f>
        <v>1247.4000000000001</v>
      </c>
      <c r="F32" s="163">
        <f t="shared" si="10"/>
        <v>38664.691486326978</v>
      </c>
      <c r="G32" s="165">
        <f t="shared" si="11"/>
        <v>6480.101879953083</v>
      </c>
      <c r="H32" s="147">
        <f t="shared" si="12"/>
        <v>6480.101879953083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2022</v>
      </c>
      <c r="D33" s="163">
        <f>IF(F32+SUM(E$17:E32)=D$10,F32,D$10-SUM(E$17:E32))</f>
        <v>38664.691486326978</v>
      </c>
      <c r="E33" s="164">
        <f>IF(+I14&lt;F32,I14,D33)</f>
        <v>1247.4000000000001</v>
      </c>
      <c r="F33" s="163">
        <f t="shared" si="10"/>
        <v>37417.291486326976</v>
      </c>
      <c r="G33" s="165">
        <f t="shared" si="11"/>
        <v>6311.2844893536585</v>
      </c>
      <c r="H33" s="147">
        <f t="shared" si="12"/>
        <v>6311.2844893536585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2023</v>
      </c>
      <c r="D34" s="163">
        <f>IF(F33+SUM(E$17:E33)=D$10,F33,D$10-SUM(E$17:E33))</f>
        <v>37417.291486326976</v>
      </c>
      <c r="E34" s="164">
        <f>IF(+I14&lt;F33,I14,D34)</f>
        <v>1247.4000000000001</v>
      </c>
      <c r="F34" s="163">
        <f t="shared" si="10"/>
        <v>36169.891486326975</v>
      </c>
      <c r="G34" s="165">
        <f t="shared" si="11"/>
        <v>6142.4670987542358</v>
      </c>
      <c r="H34" s="147">
        <f t="shared" si="12"/>
        <v>6142.4670987542358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2024</v>
      </c>
      <c r="D35" s="163">
        <f>IF(F34+SUM(E$17:E34)=D$10,F34,D$10-SUM(E$17:E34))</f>
        <v>36169.891486326975</v>
      </c>
      <c r="E35" s="164">
        <f>IF(+I14&lt;F34,I14,D35)</f>
        <v>1247.4000000000001</v>
      </c>
      <c r="F35" s="163">
        <f t="shared" si="10"/>
        <v>34922.491486326973</v>
      </c>
      <c r="G35" s="165">
        <f t="shared" si="11"/>
        <v>5973.6497081548114</v>
      </c>
      <c r="H35" s="147">
        <f t="shared" si="12"/>
        <v>5973.6497081548114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2025</v>
      </c>
      <c r="D36" s="163">
        <f>IF(F35+SUM(E$17:E35)=D$10,F35,D$10-SUM(E$17:E35))</f>
        <v>34922.491486326973</v>
      </c>
      <c r="E36" s="164">
        <f>IF(+I14&lt;F35,I14,D36)</f>
        <v>1247.4000000000001</v>
      </c>
      <c r="F36" s="163">
        <f t="shared" si="10"/>
        <v>33675.091486326972</v>
      </c>
      <c r="G36" s="165">
        <f t="shared" si="11"/>
        <v>5804.8323175553869</v>
      </c>
      <c r="H36" s="147">
        <f t="shared" si="12"/>
        <v>5804.8323175553869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2026</v>
      </c>
      <c r="D37" s="163">
        <f>IF(F36+SUM(E$17:E36)=D$10,F36,D$10-SUM(E$17:E36))</f>
        <v>33675.091486326972</v>
      </c>
      <c r="E37" s="164">
        <f>IF(+I14&lt;F36,I14,D37)</f>
        <v>1247.4000000000001</v>
      </c>
      <c r="F37" s="163">
        <f t="shared" si="10"/>
        <v>32427.69148632697</v>
      </c>
      <c r="G37" s="165">
        <f t="shared" si="11"/>
        <v>5636.0149269559643</v>
      </c>
      <c r="H37" s="147">
        <f t="shared" si="12"/>
        <v>5636.0149269559643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382" t="str">
        <f t="shared" si="4"/>
        <v/>
      </c>
      <c r="C38" s="157">
        <f>IF(D11="","-",+C37+1)</f>
        <v>2027</v>
      </c>
      <c r="D38" s="163">
        <f>IF(F37+SUM(E$17:E37)=D$10,F37,D$10-SUM(E$17:E37))</f>
        <v>32427.69148632697</v>
      </c>
      <c r="E38" s="164">
        <f>IF(+I14&lt;F37,I14,D38)</f>
        <v>1247.4000000000001</v>
      </c>
      <c r="F38" s="163">
        <f t="shared" si="10"/>
        <v>31180.291486326969</v>
      </c>
      <c r="G38" s="165">
        <f t="shared" si="11"/>
        <v>5467.1975363565398</v>
      </c>
      <c r="H38" s="147">
        <f t="shared" si="12"/>
        <v>5467.1975363565398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2028</v>
      </c>
      <c r="D39" s="163">
        <f>IF(F38+SUM(E$17:E38)=D$10,F38,D$10-SUM(E$17:E38))</f>
        <v>31180.291486326969</v>
      </c>
      <c r="E39" s="164">
        <f>IF(+I14&lt;F38,I14,D39)</f>
        <v>1247.4000000000001</v>
      </c>
      <c r="F39" s="163">
        <f t="shared" si="10"/>
        <v>29932.891486326967</v>
      </c>
      <c r="G39" s="165">
        <f t="shared" si="11"/>
        <v>5298.3801457571153</v>
      </c>
      <c r="H39" s="147">
        <f t="shared" si="12"/>
        <v>5298.3801457571153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2029</v>
      </c>
      <c r="D40" s="163">
        <f>IF(F39+SUM(E$17:E39)=D$10,F39,D$10-SUM(E$17:E39))</f>
        <v>29932.891486326967</v>
      </c>
      <c r="E40" s="164">
        <f>IF(+I14&lt;F39,I14,D40)</f>
        <v>1247.4000000000001</v>
      </c>
      <c r="F40" s="163">
        <f t="shared" si="10"/>
        <v>28685.491486326966</v>
      </c>
      <c r="G40" s="165">
        <f t="shared" si="11"/>
        <v>5129.5627551576918</v>
      </c>
      <c r="H40" s="147">
        <f t="shared" si="12"/>
        <v>5129.5627551576918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2030</v>
      </c>
      <c r="D41" s="163">
        <f>IF(F40+SUM(E$17:E40)=D$10,F40,D$10-SUM(E$17:E40))</f>
        <v>28685.491486326966</v>
      </c>
      <c r="E41" s="164">
        <f>IF(+I14&lt;F40,I14,D41)</f>
        <v>1247.4000000000001</v>
      </c>
      <c r="F41" s="163">
        <f t="shared" si="10"/>
        <v>27438.091486326965</v>
      </c>
      <c r="G41" s="165">
        <f t="shared" si="11"/>
        <v>4960.7453645582682</v>
      </c>
      <c r="H41" s="147">
        <f t="shared" si="12"/>
        <v>4960.7453645582682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2031</v>
      </c>
      <c r="D42" s="163">
        <f>IF(F41+SUM(E$17:E41)=D$10,F41,D$10-SUM(E$17:E41))</f>
        <v>27438.091486326965</v>
      </c>
      <c r="E42" s="164">
        <f>IF(+I14&lt;F41,I14,D42)</f>
        <v>1247.4000000000001</v>
      </c>
      <c r="F42" s="163">
        <f t="shared" si="10"/>
        <v>26190.691486326963</v>
      </c>
      <c r="G42" s="165">
        <f t="shared" si="11"/>
        <v>4791.9279739588437</v>
      </c>
      <c r="H42" s="147">
        <f t="shared" si="12"/>
        <v>4791.9279739588437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2032</v>
      </c>
      <c r="D43" s="163">
        <f>IF(F42+SUM(E$17:E42)=D$10,F42,D$10-SUM(E$17:E42))</f>
        <v>26190.691486326963</v>
      </c>
      <c r="E43" s="164">
        <f>IF(+I14&lt;F42,I14,D43)</f>
        <v>1247.4000000000001</v>
      </c>
      <c r="F43" s="163">
        <f t="shared" si="10"/>
        <v>24943.291486326962</v>
      </c>
      <c r="G43" s="165">
        <f t="shared" si="11"/>
        <v>4623.1105833594193</v>
      </c>
      <c r="H43" s="147">
        <f t="shared" si="12"/>
        <v>4623.1105833594193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2033</v>
      </c>
      <c r="D44" s="163">
        <f>IF(F43+SUM(E$17:E43)=D$10,F43,D$10-SUM(E$17:E43))</f>
        <v>24943.291486326962</v>
      </c>
      <c r="E44" s="164">
        <f>IF(+I14&lt;F43,I14,D44)</f>
        <v>1247.4000000000001</v>
      </c>
      <c r="F44" s="163">
        <f t="shared" si="10"/>
        <v>23695.89148632696</v>
      </c>
      <c r="G44" s="165">
        <f t="shared" si="11"/>
        <v>4454.2931927599957</v>
      </c>
      <c r="H44" s="147">
        <f t="shared" si="12"/>
        <v>4454.2931927599957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2034</v>
      </c>
      <c r="D45" s="163">
        <f>IF(F44+SUM(E$17:E44)=D$10,F44,D$10-SUM(E$17:E44))</f>
        <v>23695.89148632696</v>
      </c>
      <c r="E45" s="164">
        <f>IF(+I14&lt;F44,I14,D45)</f>
        <v>1247.4000000000001</v>
      </c>
      <c r="F45" s="163">
        <f t="shared" si="10"/>
        <v>22448.491486326959</v>
      </c>
      <c r="G45" s="165">
        <f t="shared" si="11"/>
        <v>4285.4758021605721</v>
      </c>
      <c r="H45" s="147">
        <f t="shared" si="12"/>
        <v>4285.4758021605721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2035</v>
      </c>
      <c r="D46" s="163">
        <f>IF(F45+SUM(E$17:E45)=D$10,F45,D$10-SUM(E$17:E45))</f>
        <v>22448.491486326959</v>
      </c>
      <c r="E46" s="164">
        <f>IF(+I14&lt;F45,I14,D46)</f>
        <v>1247.4000000000001</v>
      </c>
      <c r="F46" s="163">
        <f t="shared" si="10"/>
        <v>21201.091486326957</v>
      </c>
      <c r="G46" s="165">
        <f t="shared" si="11"/>
        <v>4116.6584115611477</v>
      </c>
      <c r="H46" s="147">
        <f t="shared" si="12"/>
        <v>4116.6584115611477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2036</v>
      </c>
      <c r="D47" s="163">
        <f>IF(F46+SUM(E$17:E46)=D$10,F46,D$10-SUM(E$17:E46))</f>
        <v>21201.091486326957</v>
      </c>
      <c r="E47" s="164">
        <f>IF(+I14&lt;F46,I14,D47)</f>
        <v>1247.4000000000001</v>
      </c>
      <c r="F47" s="163">
        <f t="shared" si="10"/>
        <v>19953.691486326956</v>
      </c>
      <c r="G47" s="165">
        <f t="shared" si="11"/>
        <v>3947.8410209617241</v>
      </c>
      <c r="H47" s="147">
        <f t="shared" si="12"/>
        <v>3947.8410209617241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2037</v>
      </c>
      <c r="D48" s="163">
        <f>IF(F47+SUM(E$17:E47)=D$10,F47,D$10-SUM(E$17:E47))</f>
        <v>19953.691486326956</v>
      </c>
      <c r="E48" s="164">
        <f>IF(+I14&lt;F47,I14,D48)</f>
        <v>1247.4000000000001</v>
      </c>
      <c r="F48" s="163">
        <f t="shared" si="10"/>
        <v>18706.291486326954</v>
      </c>
      <c r="G48" s="165">
        <f t="shared" si="11"/>
        <v>3779.0236303623001</v>
      </c>
      <c r="H48" s="147">
        <f t="shared" si="12"/>
        <v>3779.0236303623001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2038</v>
      </c>
      <c r="D49" s="163">
        <f>IF(F48+SUM(E$17:E48)=D$10,F48,D$10-SUM(E$17:E48))</f>
        <v>18706.291486326954</v>
      </c>
      <c r="E49" s="164">
        <f>IF(+I14&lt;F48,I14,D49)</f>
        <v>1247.4000000000001</v>
      </c>
      <c r="F49" s="163">
        <f t="shared" ref="F49:F72" si="13">+D49-E49</f>
        <v>17458.891486326953</v>
      </c>
      <c r="G49" s="165">
        <f t="shared" si="11"/>
        <v>3610.2062397628761</v>
      </c>
      <c r="H49" s="147">
        <f t="shared" si="12"/>
        <v>3610.2062397628761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2039</v>
      </c>
      <c r="D50" s="163">
        <f>IF(F49+SUM(E$17:E49)=D$10,F49,D$10-SUM(E$17:E49))</f>
        <v>17458.891486326953</v>
      </c>
      <c r="E50" s="164">
        <f>IF(+I14&lt;F49,I14,D50)</f>
        <v>1247.4000000000001</v>
      </c>
      <c r="F50" s="163">
        <f t="shared" si="13"/>
        <v>16211.491486326953</v>
      </c>
      <c r="G50" s="165">
        <f t="shared" si="11"/>
        <v>3441.3888491634521</v>
      </c>
      <c r="H50" s="147">
        <f t="shared" si="12"/>
        <v>3441.3888491634521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2040</v>
      </c>
      <c r="D51" s="163">
        <f>IF(F50+SUM(E$17:E50)=D$10,F50,D$10-SUM(E$17:E50))</f>
        <v>16211.491486326953</v>
      </c>
      <c r="E51" s="164">
        <f>IF(+I14&lt;F50,I14,D51)</f>
        <v>1247.4000000000001</v>
      </c>
      <c r="F51" s="163">
        <f t="shared" si="13"/>
        <v>14964.091486326954</v>
      </c>
      <c r="G51" s="165">
        <f t="shared" si="11"/>
        <v>3272.5714585640285</v>
      </c>
      <c r="H51" s="147">
        <f t="shared" si="12"/>
        <v>3272.5714585640285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2041</v>
      </c>
      <c r="D52" s="163">
        <f>IF(F51+SUM(E$17:E51)=D$10,F51,D$10-SUM(E$17:E51))</f>
        <v>14964.091486326954</v>
      </c>
      <c r="E52" s="164">
        <f>IF(+I14&lt;F51,I14,D52)</f>
        <v>1247.4000000000001</v>
      </c>
      <c r="F52" s="163">
        <f t="shared" si="13"/>
        <v>13716.691486326954</v>
      </c>
      <c r="G52" s="165">
        <f t="shared" si="11"/>
        <v>3103.7540679646049</v>
      </c>
      <c r="H52" s="147">
        <f t="shared" si="12"/>
        <v>3103.7540679646049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2042</v>
      </c>
      <c r="D53" s="163">
        <f>IF(F52+SUM(E$17:E52)=D$10,F52,D$10-SUM(E$17:E52))</f>
        <v>13716.691486326954</v>
      </c>
      <c r="E53" s="164">
        <f>IF(+I14&lt;F52,I14,D53)</f>
        <v>1247.4000000000001</v>
      </c>
      <c r="F53" s="163">
        <f t="shared" si="13"/>
        <v>12469.291486326954</v>
      </c>
      <c r="G53" s="165">
        <f t="shared" si="11"/>
        <v>2934.9366773651809</v>
      </c>
      <c r="H53" s="147">
        <f t="shared" si="12"/>
        <v>2934.9366773651809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2043</v>
      </c>
      <c r="D54" s="163">
        <f>IF(F53+SUM(E$17:E53)=D$10,F53,D$10-SUM(E$17:E53))</f>
        <v>12469.291486326954</v>
      </c>
      <c r="E54" s="164">
        <f>IF(+I14&lt;F53,I14,D54)</f>
        <v>1247.4000000000001</v>
      </c>
      <c r="F54" s="163">
        <f t="shared" si="13"/>
        <v>11221.891486326955</v>
      </c>
      <c r="G54" s="165">
        <f t="shared" si="11"/>
        <v>2766.1192867657574</v>
      </c>
      <c r="H54" s="147">
        <f t="shared" si="12"/>
        <v>2766.1192867657574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2044</v>
      </c>
      <c r="D55" s="163">
        <f>IF(F54+SUM(E$17:E54)=D$10,F54,D$10-SUM(E$17:E54))</f>
        <v>11221.891486326955</v>
      </c>
      <c r="E55" s="164">
        <f>IF(+I14&lt;F54,I14,D55)</f>
        <v>1247.4000000000001</v>
      </c>
      <c r="F55" s="163">
        <f t="shared" si="13"/>
        <v>9974.4914863269551</v>
      </c>
      <c r="G55" s="165">
        <f t="shared" si="11"/>
        <v>2597.3018961663338</v>
      </c>
      <c r="H55" s="147">
        <f t="shared" si="12"/>
        <v>2597.3018961663338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2045</v>
      </c>
      <c r="D56" s="163">
        <f>IF(F55+SUM(E$17:E55)=D$10,F55,D$10-SUM(E$17:E55))</f>
        <v>9974.4914863269551</v>
      </c>
      <c r="E56" s="164">
        <f>IF(+I14&lt;F55,I14,D56)</f>
        <v>1247.4000000000001</v>
      </c>
      <c r="F56" s="163">
        <f t="shared" si="13"/>
        <v>8727.0914863269554</v>
      </c>
      <c r="G56" s="165">
        <f t="shared" si="11"/>
        <v>2428.4845055669102</v>
      </c>
      <c r="H56" s="147">
        <f t="shared" si="12"/>
        <v>2428.4845055669102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2046</v>
      </c>
      <c r="D57" s="163">
        <f>IF(F56+SUM(E$17:E56)=D$10,F56,D$10-SUM(E$17:E56))</f>
        <v>8727.0914863269554</v>
      </c>
      <c r="E57" s="164">
        <f>IF(+I14&lt;F56,I14,D57)</f>
        <v>1247.4000000000001</v>
      </c>
      <c r="F57" s="163">
        <f t="shared" si="13"/>
        <v>7479.6914863269558</v>
      </c>
      <c r="G57" s="165">
        <f t="shared" si="11"/>
        <v>2259.6671149674862</v>
      </c>
      <c r="H57" s="147">
        <f t="shared" si="12"/>
        <v>2259.6671149674862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2047</v>
      </c>
      <c r="D58" s="163">
        <f>IF(F57+SUM(E$17:E57)=D$10,F57,D$10-SUM(E$17:E57))</f>
        <v>7479.6914863269558</v>
      </c>
      <c r="E58" s="164">
        <f>IF(+I14&lt;F57,I14,D58)</f>
        <v>1247.4000000000001</v>
      </c>
      <c r="F58" s="163">
        <f t="shared" si="13"/>
        <v>6232.2914863269561</v>
      </c>
      <c r="G58" s="165">
        <f t="shared" si="11"/>
        <v>2090.8497243680627</v>
      </c>
      <c r="H58" s="147">
        <f t="shared" si="12"/>
        <v>2090.8497243680627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2048</v>
      </c>
      <c r="D59" s="163">
        <f>IF(F58+SUM(E$17:E58)=D$10,F58,D$10-SUM(E$17:E58))</f>
        <v>6232.2914863269561</v>
      </c>
      <c r="E59" s="164">
        <f>IF(+I14&lt;F58,I14,D59)</f>
        <v>1247.4000000000001</v>
      </c>
      <c r="F59" s="163">
        <f t="shared" si="13"/>
        <v>4984.8914863269565</v>
      </c>
      <c r="G59" s="165">
        <f t="shared" si="11"/>
        <v>1922.0323337686386</v>
      </c>
      <c r="H59" s="147">
        <f t="shared" si="12"/>
        <v>1922.0323337686386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2049</v>
      </c>
      <c r="D60" s="163">
        <f>IF(F59+SUM(E$17:E59)=D$10,F59,D$10-SUM(E$17:E59))</f>
        <v>4984.8914863269565</v>
      </c>
      <c r="E60" s="164">
        <f>IF(+I14&lt;F59,I14,D60)</f>
        <v>1247.4000000000001</v>
      </c>
      <c r="F60" s="163">
        <f t="shared" si="13"/>
        <v>3737.4914863269564</v>
      </c>
      <c r="G60" s="165">
        <f t="shared" si="11"/>
        <v>1753.2149431692151</v>
      </c>
      <c r="H60" s="147">
        <f t="shared" si="12"/>
        <v>1753.2149431692151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/>
      </c>
      <c r="C61" s="157">
        <f>IF(D11="","-",+C60+1)</f>
        <v>2050</v>
      </c>
      <c r="D61" s="163">
        <f>IF(F60+SUM(E$17:E60)=D$10,F60,D$10-SUM(E$17:E60))</f>
        <v>3737.4914863269564</v>
      </c>
      <c r="E61" s="164">
        <f>IF(+I14&lt;F60,I14,D61)</f>
        <v>1247.4000000000001</v>
      </c>
      <c r="F61" s="163">
        <f t="shared" si="13"/>
        <v>2490.0914863269563</v>
      </c>
      <c r="G61" s="167">
        <f t="shared" si="11"/>
        <v>1584.3975525697913</v>
      </c>
      <c r="H61" s="147">
        <f t="shared" si="12"/>
        <v>1584.3975525697913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2051</v>
      </c>
      <c r="D62" s="163">
        <f>IF(F61+SUM(E$17:E61)=D$10,F61,D$10-SUM(E$17:E61))</f>
        <v>2490.0914863269563</v>
      </c>
      <c r="E62" s="164">
        <f>IF(+I14&lt;F61,I14,D62)</f>
        <v>1247.4000000000001</v>
      </c>
      <c r="F62" s="163">
        <f t="shared" si="13"/>
        <v>1242.6914863269562</v>
      </c>
      <c r="G62" s="167">
        <f t="shared" si="11"/>
        <v>1415.5801619703675</v>
      </c>
      <c r="H62" s="147">
        <f t="shared" si="12"/>
        <v>1415.5801619703675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382" t="str">
        <f t="shared" si="4"/>
        <v/>
      </c>
      <c r="C63" s="157">
        <f>IF(D11="","-",+C62+1)</f>
        <v>2052</v>
      </c>
      <c r="D63" s="163">
        <f>IF(F62+SUM(E$17:E62)=D$10,F62,D$10-SUM(E$17:E62))</f>
        <v>1242.6914863269562</v>
      </c>
      <c r="E63" s="164">
        <f>IF(+I14&lt;F62,I14,D63)</f>
        <v>1242.6914863269562</v>
      </c>
      <c r="F63" s="163">
        <f t="shared" si="13"/>
        <v>0</v>
      </c>
      <c r="G63" s="167">
        <f t="shared" si="11"/>
        <v>1242.6914863269562</v>
      </c>
      <c r="H63" s="147">
        <f t="shared" si="12"/>
        <v>1242.6914863269562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7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1"/>
        <v>0</v>
      </c>
      <c r="H72" s="130">
        <f t="shared" si="12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56133.000000000029</v>
      </c>
      <c r="F73" s="115"/>
      <c r="G73" s="115">
        <f>SUM(G17:G72)</f>
        <v>206052.65331648529</v>
      </c>
      <c r="H73" s="115">
        <f>SUM(H17:H72)</f>
        <v>206052.65331648529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8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6986.5540517513546</v>
      </c>
      <c r="N87" s="202">
        <f>IF(J92&lt;D11,0,VLOOKUP(J92,C17:O72,11))</f>
        <v>6986.5540517513546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5766.2406216754998</v>
      </c>
      <c r="N88" s="204">
        <f>IF(J92&lt;D11,0,VLOOKUP(J92,C99:P154,7))</f>
        <v>5766.2406216754998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Weleetka &amp; Okmulgee Wavetrap replacement 81-805*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-1220.3134300758547</v>
      </c>
      <c r="N89" s="207">
        <f>+N88-N87</f>
        <v>-1220.3134300758547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TP2005046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56133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2006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3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1305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2006</v>
      </c>
      <c r="D99" s="361">
        <v>0</v>
      </c>
      <c r="E99" s="363">
        <v>0</v>
      </c>
      <c r="F99" s="366">
        <v>56133</v>
      </c>
      <c r="G99" s="368">
        <v>28067</v>
      </c>
      <c r="H99" s="369">
        <v>0</v>
      </c>
      <c r="I99" s="370">
        <v>0</v>
      </c>
      <c r="J99" s="162">
        <f t="shared" ref="J99:J130" si="18">+I99-H99</f>
        <v>0</v>
      </c>
      <c r="K99" s="162"/>
      <c r="L99" s="332">
        <v>0</v>
      </c>
      <c r="M99" s="161">
        <f t="shared" ref="M99:M130" si="19">IF(L99&lt;&gt;0,+H99-L99,0)</f>
        <v>0</v>
      </c>
      <c r="N99" s="332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2007</v>
      </c>
      <c r="D100" s="361">
        <v>56133</v>
      </c>
      <c r="E100" s="363">
        <v>1059</v>
      </c>
      <c r="F100" s="366">
        <v>55074</v>
      </c>
      <c r="G100" s="366">
        <v>55603</v>
      </c>
      <c r="H100" s="363">
        <v>0</v>
      </c>
      <c r="I100" s="365">
        <v>0</v>
      </c>
      <c r="J100" s="162">
        <f t="shared" si="18"/>
        <v>0</v>
      </c>
      <c r="K100" s="162"/>
      <c r="L100" s="333">
        <v>0</v>
      </c>
      <c r="M100" s="162">
        <f t="shared" si="19"/>
        <v>0</v>
      </c>
      <c r="N100" s="333">
        <v>0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2008</v>
      </c>
      <c r="D101" s="361">
        <v>55074</v>
      </c>
      <c r="E101" s="363">
        <v>1059</v>
      </c>
      <c r="F101" s="366">
        <v>54015</v>
      </c>
      <c r="G101" s="366">
        <v>54544</v>
      </c>
      <c r="H101" s="363">
        <v>9723</v>
      </c>
      <c r="I101" s="365">
        <v>9723</v>
      </c>
      <c r="J101" s="162">
        <f t="shared" si="18"/>
        <v>0</v>
      </c>
      <c r="K101" s="162"/>
      <c r="L101" s="333">
        <v>9723</v>
      </c>
      <c r="M101" s="162">
        <f t="shared" si="19"/>
        <v>0</v>
      </c>
      <c r="N101" s="333">
        <v>9723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2009</v>
      </c>
      <c r="D102" s="361">
        <v>54015</v>
      </c>
      <c r="E102" s="363">
        <v>1002</v>
      </c>
      <c r="F102" s="366">
        <v>53013</v>
      </c>
      <c r="G102" s="366">
        <v>53514</v>
      </c>
      <c r="H102" s="363">
        <v>8826.1899911613018</v>
      </c>
      <c r="I102" s="365">
        <v>8826.1899911613018</v>
      </c>
      <c r="J102" s="162">
        <f t="shared" si="18"/>
        <v>0</v>
      </c>
      <c r="K102" s="162"/>
      <c r="L102" s="375">
        <f t="shared" ref="L102:L107" si="23">H102</f>
        <v>8826.1899911613018</v>
      </c>
      <c r="M102" s="376">
        <f t="shared" si="19"/>
        <v>0</v>
      </c>
      <c r="N102" s="375">
        <f t="shared" ref="N102:N107" si="24">I102</f>
        <v>8826.1899911613018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2010</v>
      </c>
      <c r="D103" s="361">
        <v>53013</v>
      </c>
      <c r="E103" s="363">
        <v>1101</v>
      </c>
      <c r="F103" s="366">
        <v>51912</v>
      </c>
      <c r="G103" s="366">
        <v>52462.5</v>
      </c>
      <c r="H103" s="363">
        <v>9537.7685710444202</v>
      </c>
      <c r="I103" s="365">
        <v>9537.7685710444202</v>
      </c>
      <c r="J103" s="162">
        <f t="shared" si="18"/>
        <v>0</v>
      </c>
      <c r="K103" s="162"/>
      <c r="L103" s="375">
        <f t="shared" si="23"/>
        <v>9537.7685710444202</v>
      </c>
      <c r="M103" s="376">
        <f t="shared" si="19"/>
        <v>0</v>
      </c>
      <c r="N103" s="375">
        <f t="shared" si="24"/>
        <v>9537.7685710444202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2011</v>
      </c>
      <c r="D104" s="361">
        <v>51912</v>
      </c>
      <c r="E104" s="363">
        <v>1079</v>
      </c>
      <c r="F104" s="366">
        <v>50833</v>
      </c>
      <c r="G104" s="366">
        <v>51372.5</v>
      </c>
      <c r="H104" s="363">
        <v>8261.5658402233203</v>
      </c>
      <c r="I104" s="365">
        <v>8261.5658402233203</v>
      </c>
      <c r="J104" s="162">
        <f t="shared" si="18"/>
        <v>0</v>
      </c>
      <c r="K104" s="162"/>
      <c r="L104" s="375">
        <f t="shared" si="23"/>
        <v>8261.5658402233203</v>
      </c>
      <c r="M104" s="376">
        <f t="shared" si="19"/>
        <v>0</v>
      </c>
      <c r="N104" s="375">
        <f t="shared" si="24"/>
        <v>8261.5658402233203</v>
      </c>
      <c r="O104" s="162">
        <f t="shared" si="20"/>
        <v>0</v>
      </c>
      <c r="P104" s="162">
        <f t="shared" si="21"/>
        <v>0</v>
      </c>
    </row>
    <row r="105" spans="1:16">
      <c r="B105" s="9" t="str">
        <f t="shared" si="22"/>
        <v/>
      </c>
      <c r="C105" s="157">
        <f>IF(D93="","-",+C104+1)</f>
        <v>2012</v>
      </c>
      <c r="D105" s="361">
        <v>50833</v>
      </c>
      <c r="E105" s="363">
        <v>1079</v>
      </c>
      <c r="F105" s="366">
        <v>49754</v>
      </c>
      <c r="G105" s="366">
        <v>50293.5</v>
      </c>
      <c r="H105" s="363">
        <v>8313.995673781943</v>
      </c>
      <c r="I105" s="365">
        <v>8313.995673781943</v>
      </c>
      <c r="J105" s="162">
        <v>0</v>
      </c>
      <c r="K105" s="162"/>
      <c r="L105" s="375">
        <f t="shared" si="23"/>
        <v>8313.995673781943</v>
      </c>
      <c r="M105" s="376">
        <f t="shared" ref="M105:M110" si="25">IF(L105&lt;&gt;0,+H105-L105,0)</f>
        <v>0</v>
      </c>
      <c r="N105" s="375">
        <f t="shared" si="24"/>
        <v>8313.995673781943</v>
      </c>
      <c r="O105" s="162">
        <f t="shared" ref="O105:O110" si="26">IF(N105&lt;&gt;0,+I105-N105,0)</f>
        <v>0</v>
      </c>
      <c r="P105" s="162">
        <f t="shared" ref="P105:P110" si="27">+O105-M105</f>
        <v>0</v>
      </c>
    </row>
    <row r="106" spans="1:16">
      <c r="B106" s="9" t="str">
        <f t="shared" si="22"/>
        <v/>
      </c>
      <c r="C106" s="157">
        <f>IF(D93="","-",+C105+1)</f>
        <v>2013</v>
      </c>
      <c r="D106" s="361">
        <v>49754</v>
      </c>
      <c r="E106" s="363">
        <v>1079</v>
      </c>
      <c r="F106" s="366">
        <v>48675</v>
      </c>
      <c r="G106" s="366">
        <v>49214.5</v>
      </c>
      <c r="H106" s="363">
        <v>8162.9151459393179</v>
      </c>
      <c r="I106" s="365">
        <v>8162.9151459393179</v>
      </c>
      <c r="J106" s="162">
        <v>0</v>
      </c>
      <c r="K106" s="162"/>
      <c r="L106" s="375">
        <f t="shared" si="23"/>
        <v>8162.9151459393179</v>
      </c>
      <c r="M106" s="376">
        <f t="shared" si="25"/>
        <v>0</v>
      </c>
      <c r="N106" s="375">
        <f t="shared" si="24"/>
        <v>8162.9151459393179</v>
      </c>
      <c r="O106" s="162">
        <f t="shared" si="26"/>
        <v>0</v>
      </c>
      <c r="P106" s="162">
        <f t="shared" si="27"/>
        <v>0</v>
      </c>
    </row>
    <row r="107" spans="1:16">
      <c r="B107" s="9" t="str">
        <f t="shared" si="22"/>
        <v/>
      </c>
      <c r="C107" s="157">
        <f>IF(D93="","-",+C106+1)</f>
        <v>2014</v>
      </c>
      <c r="D107" s="361">
        <v>48675</v>
      </c>
      <c r="E107" s="363">
        <v>1079</v>
      </c>
      <c r="F107" s="366">
        <v>47596</v>
      </c>
      <c r="G107" s="366">
        <v>48135.5</v>
      </c>
      <c r="H107" s="363">
        <v>7846.6545337569178</v>
      </c>
      <c r="I107" s="365">
        <v>7846.6545337569178</v>
      </c>
      <c r="J107" s="162">
        <v>0</v>
      </c>
      <c r="K107" s="162"/>
      <c r="L107" s="375">
        <f t="shared" si="23"/>
        <v>7846.6545337569178</v>
      </c>
      <c r="M107" s="376">
        <f t="shared" si="25"/>
        <v>0</v>
      </c>
      <c r="N107" s="375">
        <f t="shared" si="24"/>
        <v>7846.6545337569178</v>
      </c>
      <c r="O107" s="162">
        <f t="shared" si="26"/>
        <v>0</v>
      </c>
      <c r="P107" s="162">
        <f t="shared" si="27"/>
        <v>0</v>
      </c>
    </row>
    <row r="108" spans="1:16">
      <c r="B108" s="9" t="str">
        <f t="shared" si="22"/>
        <v/>
      </c>
      <c r="C108" s="157">
        <f>IF(D93="","-",+C107+1)</f>
        <v>2015</v>
      </c>
      <c r="D108" s="361">
        <v>47596</v>
      </c>
      <c r="E108" s="363">
        <v>1079</v>
      </c>
      <c r="F108" s="366">
        <v>46517</v>
      </c>
      <c r="G108" s="366">
        <v>47056.5</v>
      </c>
      <c r="H108" s="363">
        <v>7499.4810720950254</v>
      </c>
      <c r="I108" s="365">
        <v>7499.4810720950254</v>
      </c>
      <c r="J108" s="162">
        <f t="shared" si="18"/>
        <v>0</v>
      </c>
      <c r="K108" s="162"/>
      <c r="L108" s="375">
        <f>H108</f>
        <v>7499.4810720950254</v>
      </c>
      <c r="M108" s="376">
        <f t="shared" si="25"/>
        <v>0</v>
      </c>
      <c r="N108" s="375">
        <f>I108</f>
        <v>7499.4810720950254</v>
      </c>
      <c r="O108" s="162">
        <f t="shared" si="26"/>
        <v>0</v>
      </c>
      <c r="P108" s="162">
        <f t="shared" si="27"/>
        <v>0</v>
      </c>
    </row>
    <row r="109" spans="1:16">
      <c r="B109" s="9" t="str">
        <f t="shared" si="22"/>
        <v/>
      </c>
      <c r="C109" s="157">
        <f>IF(D93="","-",+C108+1)</f>
        <v>2016</v>
      </c>
      <c r="D109" s="361">
        <v>46517</v>
      </c>
      <c r="E109" s="363">
        <v>1220</v>
      </c>
      <c r="F109" s="366">
        <v>45297</v>
      </c>
      <c r="G109" s="366">
        <v>45907</v>
      </c>
      <c r="H109" s="363">
        <v>7138.135283574793</v>
      </c>
      <c r="I109" s="365">
        <v>7138.135283574793</v>
      </c>
      <c r="J109" s="162">
        <f t="shared" si="18"/>
        <v>0</v>
      </c>
      <c r="K109" s="162"/>
      <c r="L109" s="375">
        <f>H109</f>
        <v>7138.135283574793</v>
      </c>
      <c r="M109" s="376">
        <f t="shared" si="25"/>
        <v>0</v>
      </c>
      <c r="N109" s="375">
        <f>I109</f>
        <v>7138.135283574793</v>
      </c>
      <c r="O109" s="162">
        <f t="shared" si="26"/>
        <v>0</v>
      </c>
      <c r="P109" s="162">
        <f t="shared" si="27"/>
        <v>0</v>
      </c>
    </row>
    <row r="110" spans="1:16">
      <c r="B110" s="9" t="str">
        <f t="shared" si="22"/>
        <v/>
      </c>
      <c r="C110" s="157">
        <f>IF(D93="","-",+C109+1)</f>
        <v>2017</v>
      </c>
      <c r="D110" s="361">
        <v>45297</v>
      </c>
      <c r="E110" s="363">
        <v>1220</v>
      </c>
      <c r="F110" s="366">
        <v>44077</v>
      </c>
      <c r="G110" s="366">
        <v>44687</v>
      </c>
      <c r="H110" s="363">
        <v>6888.6586283105316</v>
      </c>
      <c r="I110" s="365">
        <v>6888.6586283105316</v>
      </c>
      <c r="J110" s="162">
        <f t="shared" si="18"/>
        <v>0</v>
      </c>
      <c r="K110" s="162"/>
      <c r="L110" s="375">
        <f>H110</f>
        <v>6888.6586283105316</v>
      </c>
      <c r="M110" s="376">
        <f t="shared" si="25"/>
        <v>0</v>
      </c>
      <c r="N110" s="375">
        <f>I110</f>
        <v>6888.6586283105316</v>
      </c>
      <c r="O110" s="162">
        <f t="shared" si="26"/>
        <v>0</v>
      </c>
      <c r="P110" s="162">
        <f t="shared" si="27"/>
        <v>0</v>
      </c>
    </row>
    <row r="111" spans="1:16">
      <c r="B111" s="9" t="str">
        <f t="shared" si="22"/>
        <v/>
      </c>
      <c r="C111" s="157">
        <f>IF(D93="","-",+C110+1)</f>
        <v>2018</v>
      </c>
      <c r="D111" s="158">
        <f>IF(F110+SUM(E$99:E110)=D$92,F110,D$92-SUM(E$99:E110))</f>
        <v>44077</v>
      </c>
      <c r="E111" s="165">
        <f>IF(+J96&lt;F110,J96,D111)</f>
        <v>1305</v>
      </c>
      <c r="F111" s="163">
        <f t="shared" ref="F111:F130" si="28">+D111-E111</f>
        <v>42772</v>
      </c>
      <c r="G111" s="163">
        <f t="shared" ref="G111:G130" si="29">+(F111+D111)/2</f>
        <v>43424.5</v>
      </c>
      <c r="H111" s="167">
        <f t="shared" ref="H111:H154" si="30">+J$94*G111+E111</f>
        <v>5766.2406216754998</v>
      </c>
      <c r="I111" s="312">
        <f t="shared" ref="I111:I154" si="31">+J$95*G111+E111</f>
        <v>5766.2406216754998</v>
      </c>
      <c r="J111" s="162">
        <f t="shared" si="18"/>
        <v>0</v>
      </c>
      <c r="K111" s="162"/>
      <c r="L111" s="330"/>
      <c r="M111" s="162">
        <f t="shared" si="19"/>
        <v>0</v>
      </c>
      <c r="N111" s="330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2019</v>
      </c>
      <c r="D112" s="158">
        <f>IF(F111+SUM(E$99:E111)=D$92,F111,D$92-SUM(E$99:E111))</f>
        <v>42772</v>
      </c>
      <c r="E112" s="165">
        <f>IF(+J96&lt;F111,J96,D112)</f>
        <v>1305</v>
      </c>
      <c r="F112" s="163">
        <f t="shared" si="28"/>
        <v>41467</v>
      </c>
      <c r="G112" s="163">
        <f t="shared" si="29"/>
        <v>42119.5</v>
      </c>
      <c r="H112" s="167">
        <f t="shared" si="30"/>
        <v>5632.1707069663717</v>
      </c>
      <c r="I112" s="312">
        <f t="shared" si="31"/>
        <v>5632.1707069663717</v>
      </c>
      <c r="J112" s="162">
        <f t="shared" si="18"/>
        <v>0</v>
      </c>
      <c r="K112" s="162"/>
      <c r="L112" s="330"/>
      <c r="M112" s="162">
        <f t="shared" si="19"/>
        <v>0</v>
      </c>
      <c r="N112" s="330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2020</v>
      </c>
      <c r="D113" s="158">
        <f>IF(F112+SUM(E$99:E112)=D$92,F112,D$92-SUM(E$99:E112))</f>
        <v>41467</v>
      </c>
      <c r="E113" s="165">
        <f>IF(+J96&lt;F112,J96,D113)</f>
        <v>1305</v>
      </c>
      <c r="F113" s="163">
        <f t="shared" si="28"/>
        <v>40162</v>
      </c>
      <c r="G113" s="163">
        <f t="shared" si="29"/>
        <v>40814.5</v>
      </c>
      <c r="H113" s="167">
        <f t="shared" si="30"/>
        <v>5498.1007922572435</v>
      </c>
      <c r="I113" s="312">
        <f t="shared" si="31"/>
        <v>5498.1007922572435</v>
      </c>
      <c r="J113" s="162">
        <f t="shared" si="18"/>
        <v>0</v>
      </c>
      <c r="K113" s="162"/>
      <c r="L113" s="330"/>
      <c r="M113" s="162">
        <f t="shared" si="19"/>
        <v>0</v>
      </c>
      <c r="N113" s="330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2021</v>
      </c>
      <c r="D114" s="158">
        <f>IF(F113+SUM(E$99:E113)=D$92,F113,D$92-SUM(E$99:E113))</f>
        <v>40162</v>
      </c>
      <c r="E114" s="165">
        <f>IF(+J96&lt;F113,J96,D114)</f>
        <v>1305</v>
      </c>
      <c r="F114" s="163">
        <f t="shared" si="28"/>
        <v>38857</v>
      </c>
      <c r="G114" s="163">
        <f t="shared" si="29"/>
        <v>39509.5</v>
      </c>
      <c r="H114" s="167">
        <f t="shared" si="30"/>
        <v>5364.0308775481153</v>
      </c>
      <c r="I114" s="312">
        <f t="shared" si="31"/>
        <v>5364.0308775481153</v>
      </c>
      <c r="J114" s="162">
        <f t="shared" si="18"/>
        <v>0</v>
      </c>
      <c r="K114" s="162"/>
      <c r="L114" s="330"/>
      <c r="M114" s="162">
        <f t="shared" si="19"/>
        <v>0</v>
      </c>
      <c r="N114" s="330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2022</v>
      </c>
      <c r="D115" s="158">
        <f>IF(F114+SUM(E$99:E114)=D$92,F114,D$92-SUM(E$99:E114))</f>
        <v>38857</v>
      </c>
      <c r="E115" s="165">
        <f>IF(+J96&lt;F114,J96,D115)</f>
        <v>1305</v>
      </c>
      <c r="F115" s="163">
        <f t="shared" si="28"/>
        <v>37552</v>
      </c>
      <c r="G115" s="163">
        <f t="shared" si="29"/>
        <v>38204.5</v>
      </c>
      <c r="H115" s="167">
        <f t="shared" si="30"/>
        <v>5229.9609628389881</v>
      </c>
      <c r="I115" s="312">
        <f t="shared" si="31"/>
        <v>5229.9609628389881</v>
      </c>
      <c r="J115" s="162">
        <f t="shared" si="18"/>
        <v>0</v>
      </c>
      <c r="K115" s="162"/>
      <c r="L115" s="330"/>
      <c r="M115" s="162">
        <f t="shared" si="19"/>
        <v>0</v>
      </c>
      <c r="N115" s="330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2023</v>
      </c>
      <c r="D116" s="158">
        <f>IF(F115+SUM(E$99:E115)=D$92,F115,D$92-SUM(E$99:E115))</f>
        <v>37552</v>
      </c>
      <c r="E116" s="165">
        <f>IF(+J96&lt;F115,J96,D116)</f>
        <v>1305</v>
      </c>
      <c r="F116" s="163">
        <f t="shared" si="28"/>
        <v>36247</v>
      </c>
      <c r="G116" s="163">
        <f t="shared" si="29"/>
        <v>36899.5</v>
      </c>
      <c r="H116" s="167">
        <f t="shared" si="30"/>
        <v>5095.8910481298599</v>
      </c>
      <c r="I116" s="312">
        <f t="shared" si="31"/>
        <v>5095.8910481298599</v>
      </c>
      <c r="J116" s="162">
        <f t="shared" si="18"/>
        <v>0</v>
      </c>
      <c r="K116" s="162"/>
      <c r="L116" s="330"/>
      <c r="M116" s="162">
        <f t="shared" si="19"/>
        <v>0</v>
      </c>
      <c r="N116" s="330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2024</v>
      </c>
      <c r="D117" s="158">
        <f>IF(F116+SUM(E$99:E116)=D$92,F116,D$92-SUM(E$99:E116))</f>
        <v>36247</v>
      </c>
      <c r="E117" s="165">
        <f>IF(+J96&lt;F116,J96,D117)</f>
        <v>1305</v>
      </c>
      <c r="F117" s="163">
        <f t="shared" si="28"/>
        <v>34942</v>
      </c>
      <c r="G117" s="163">
        <f t="shared" si="29"/>
        <v>35594.5</v>
      </c>
      <c r="H117" s="167">
        <f t="shared" si="30"/>
        <v>4961.8211334207317</v>
      </c>
      <c r="I117" s="312">
        <f t="shared" si="31"/>
        <v>4961.8211334207317</v>
      </c>
      <c r="J117" s="162">
        <f t="shared" si="18"/>
        <v>0</v>
      </c>
      <c r="K117" s="162"/>
      <c r="L117" s="330"/>
      <c r="M117" s="162">
        <f t="shared" si="19"/>
        <v>0</v>
      </c>
      <c r="N117" s="330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2025</v>
      </c>
      <c r="D118" s="158">
        <f>IF(F117+SUM(E$99:E117)=D$92,F117,D$92-SUM(E$99:E117))</f>
        <v>34942</v>
      </c>
      <c r="E118" s="165">
        <f>IF(+J96&lt;F117,J96,D118)</f>
        <v>1305</v>
      </c>
      <c r="F118" s="163">
        <f t="shared" si="28"/>
        <v>33637</v>
      </c>
      <c r="G118" s="163">
        <f t="shared" si="29"/>
        <v>34289.5</v>
      </c>
      <c r="H118" s="167">
        <f t="shared" si="30"/>
        <v>4827.7512187116045</v>
      </c>
      <c r="I118" s="312">
        <f t="shared" si="31"/>
        <v>4827.7512187116045</v>
      </c>
      <c r="J118" s="162">
        <f t="shared" si="18"/>
        <v>0</v>
      </c>
      <c r="K118" s="162"/>
      <c r="L118" s="330"/>
      <c r="M118" s="162">
        <f t="shared" si="19"/>
        <v>0</v>
      </c>
      <c r="N118" s="330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2026</v>
      </c>
      <c r="D119" s="158">
        <f>IF(F118+SUM(E$99:E118)=D$92,F118,D$92-SUM(E$99:E118))</f>
        <v>33637</v>
      </c>
      <c r="E119" s="165">
        <f>IF(+J96&lt;F118,J96,D119)</f>
        <v>1305</v>
      </c>
      <c r="F119" s="163">
        <f t="shared" si="28"/>
        <v>32332</v>
      </c>
      <c r="G119" s="163">
        <f t="shared" si="29"/>
        <v>32984.5</v>
      </c>
      <c r="H119" s="167">
        <f t="shared" si="30"/>
        <v>4693.6813040024763</v>
      </c>
      <c r="I119" s="312">
        <f t="shared" si="31"/>
        <v>4693.6813040024763</v>
      </c>
      <c r="J119" s="162">
        <f t="shared" si="18"/>
        <v>0</v>
      </c>
      <c r="K119" s="162"/>
      <c r="L119" s="330"/>
      <c r="M119" s="162">
        <f t="shared" si="19"/>
        <v>0</v>
      </c>
      <c r="N119" s="330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2027</v>
      </c>
      <c r="D120" s="158">
        <f>IF(F119+SUM(E$99:E119)=D$92,F119,D$92-SUM(E$99:E119))</f>
        <v>32332</v>
      </c>
      <c r="E120" s="165">
        <f>IF(+J96&lt;F119,J96,D120)</f>
        <v>1305</v>
      </c>
      <c r="F120" s="163">
        <f t="shared" si="28"/>
        <v>31027</v>
      </c>
      <c r="G120" s="163">
        <f t="shared" si="29"/>
        <v>31679.5</v>
      </c>
      <c r="H120" s="167">
        <f t="shared" si="30"/>
        <v>4559.6113892933481</v>
      </c>
      <c r="I120" s="312">
        <f t="shared" si="31"/>
        <v>4559.6113892933481</v>
      </c>
      <c r="J120" s="162">
        <f t="shared" si="18"/>
        <v>0</v>
      </c>
      <c r="K120" s="162"/>
      <c r="L120" s="330"/>
      <c r="M120" s="162">
        <f t="shared" si="19"/>
        <v>0</v>
      </c>
      <c r="N120" s="330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2028</v>
      </c>
      <c r="D121" s="158">
        <f>IF(F120+SUM(E$99:E120)=D$92,F120,D$92-SUM(E$99:E120))</f>
        <v>31027</v>
      </c>
      <c r="E121" s="165">
        <f>IF(+J96&lt;F120,J96,D121)</f>
        <v>1305</v>
      </c>
      <c r="F121" s="163">
        <f t="shared" si="28"/>
        <v>29722</v>
      </c>
      <c r="G121" s="163">
        <f t="shared" si="29"/>
        <v>30374.5</v>
      </c>
      <c r="H121" s="167">
        <f t="shared" si="30"/>
        <v>4425.5414745842199</v>
      </c>
      <c r="I121" s="312">
        <f t="shared" si="31"/>
        <v>4425.5414745842199</v>
      </c>
      <c r="J121" s="162">
        <f t="shared" si="18"/>
        <v>0</v>
      </c>
      <c r="K121" s="162"/>
      <c r="L121" s="330"/>
      <c r="M121" s="162">
        <f t="shared" si="19"/>
        <v>0</v>
      </c>
      <c r="N121" s="330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2029</v>
      </c>
      <c r="D122" s="158">
        <f>IF(F121+SUM(E$99:E121)=D$92,F121,D$92-SUM(E$99:E121))</f>
        <v>29722</v>
      </c>
      <c r="E122" s="165">
        <f>IF(+J96&lt;F121,J96,D122)</f>
        <v>1305</v>
      </c>
      <c r="F122" s="163">
        <f t="shared" si="28"/>
        <v>28417</v>
      </c>
      <c r="G122" s="163">
        <f t="shared" si="29"/>
        <v>29069.5</v>
      </c>
      <c r="H122" s="167">
        <f t="shared" si="30"/>
        <v>4291.4715598750918</v>
      </c>
      <c r="I122" s="312">
        <f t="shared" si="31"/>
        <v>4291.4715598750918</v>
      </c>
      <c r="J122" s="162">
        <f t="shared" si="18"/>
        <v>0</v>
      </c>
      <c r="K122" s="162"/>
      <c r="L122" s="330"/>
      <c r="M122" s="162">
        <f t="shared" si="19"/>
        <v>0</v>
      </c>
      <c r="N122" s="330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2030</v>
      </c>
      <c r="D123" s="158">
        <f>IF(F122+SUM(E$99:E122)=D$92,F122,D$92-SUM(E$99:E122))</f>
        <v>28417</v>
      </c>
      <c r="E123" s="165">
        <f>IF(+J96&lt;F122,J96,D123)</f>
        <v>1305</v>
      </c>
      <c r="F123" s="163">
        <f t="shared" si="28"/>
        <v>27112</v>
      </c>
      <c r="G123" s="163">
        <f t="shared" si="29"/>
        <v>27764.5</v>
      </c>
      <c r="H123" s="167">
        <f t="shared" si="30"/>
        <v>4157.4016451659645</v>
      </c>
      <c r="I123" s="312">
        <f t="shared" si="31"/>
        <v>4157.4016451659645</v>
      </c>
      <c r="J123" s="162">
        <f t="shared" si="18"/>
        <v>0</v>
      </c>
      <c r="K123" s="162"/>
      <c r="L123" s="330"/>
      <c r="M123" s="162">
        <f t="shared" si="19"/>
        <v>0</v>
      </c>
      <c r="N123" s="330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2031</v>
      </c>
      <c r="D124" s="158">
        <f>IF(F123+SUM(E$99:E123)=D$92,F123,D$92-SUM(E$99:E123))</f>
        <v>27112</v>
      </c>
      <c r="E124" s="165">
        <f>IF(+J96&lt;F123,J96,D124)</f>
        <v>1305</v>
      </c>
      <c r="F124" s="163">
        <f t="shared" si="28"/>
        <v>25807</v>
      </c>
      <c r="G124" s="163">
        <f t="shared" si="29"/>
        <v>26459.5</v>
      </c>
      <c r="H124" s="167">
        <f t="shared" si="30"/>
        <v>4023.3317304568363</v>
      </c>
      <c r="I124" s="312">
        <f t="shared" si="31"/>
        <v>4023.3317304568363</v>
      </c>
      <c r="J124" s="162">
        <f t="shared" si="18"/>
        <v>0</v>
      </c>
      <c r="K124" s="162"/>
      <c r="L124" s="330"/>
      <c r="M124" s="162">
        <f t="shared" si="19"/>
        <v>0</v>
      </c>
      <c r="N124" s="330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2032</v>
      </c>
      <c r="D125" s="158">
        <f>IF(F124+SUM(E$99:E124)=D$92,F124,D$92-SUM(E$99:E124))</f>
        <v>25807</v>
      </c>
      <c r="E125" s="165">
        <f>IF(+J96&lt;F124,J96,D125)</f>
        <v>1305</v>
      </c>
      <c r="F125" s="163">
        <f t="shared" si="28"/>
        <v>24502</v>
      </c>
      <c r="G125" s="163">
        <f t="shared" si="29"/>
        <v>25154.5</v>
      </c>
      <c r="H125" s="167">
        <f t="shared" si="30"/>
        <v>3889.2618157477082</v>
      </c>
      <c r="I125" s="312">
        <f t="shared" si="31"/>
        <v>3889.2618157477082</v>
      </c>
      <c r="J125" s="162">
        <f t="shared" si="18"/>
        <v>0</v>
      </c>
      <c r="K125" s="162"/>
      <c r="L125" s="330"/>
      <c r="M125" s="162">
        <f t="shared" si="19"/>
        <v>0</v>
      </c>
      <c r="N125" s="330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2033</v>
      </c>
      <c r="D126" s="158">
        <f>IF(F125+SUM(E$99:E125)=D$92,F125,D$92-SUM(E$99:E125))</f>
        <v>24502</v>
      </c>
      <c r="E126" s="165">
        <f>IF(+J96&lt;F125,J96,D126)</f>
        <v>1305</v>
      </c>
      <c r="F126" s="163">
        <f t="shared" si="28"/>
        <v>23197</v>
      </c>
      <c r="G126" s="163">
        <f t="shared" si="29"/>
        <v>23849.5</v>
      </c>
      <c r="H126" s="167">
        <f t="shared" si="30"/>
        <v>3755.1919010385805</v>
      </c>
      <c r="I126" s="312">
        <f t="shared" si="31"/>
        <v>3755.1919010385805</v>
      </c>
      <c r="J126" s="162">
        <f t="shared" si="18"/>
        <v>0</v>
      </c>
      <c r="K126" s="162"/>
      <c r="L126" s="330"/>
      <c r="M126" s="162">
        <f t="shared" si="19"/>
        <v>0</v>
      </c>
      <c r="N126" s="330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2034</v>
      </c>
      <c r="D127" s="158">
        <f>IF(F126+SUM(E$99:E126)=D$92,F126,D$92-SUM(E$99:E126))</f>
        <v>23197</v>
      </c>
      <c r="E127" s="165">
        <f>IF(+J96&lt;F126,J96,D127)</f>
        <v>1305</v>
      </c>
      <c r="F127" s="163">
        <f t="shared" si="28"/>
        <v>21892</v>
      </c>
      <c r="G127" s="163">
        <f t="shared" si="29"/>
        <v>22544.5</v>
      </c>
      <c r="H127" s="167">
        <f t="shared" si="30"/>
        <v>3621.1219863294523</v>
      </c>
      <c r="I127" s="312">
        <f t="shared" si="31"/>
        <v>3621.1219863294523</v>
      </c>
      <c r="J127" s="162">
        <f t="shared" si="18"/>
        <v>0</v>
      </c>
      <c r="K127" s="162"/>
      <c r="L127" s="330"/>
      <c r="M127" s="162">
        <f t="shared" si="19"/>
        <v>0</v>
      </c>
      <c r="N127" s="330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2035</v>
      </c>
      <c r="D128" s="158">
        <f>IF(F127+SUM(E$99:E127)=D$92,F127,D$92-SUM(E$99:E127))</f>
        <v>21892</v>
      </c>
      <c r="E128" s="165">
        <f>IF(+J96&lt;F127,J96,D128)</f>
        <v>1305</v>
      </c>
      <c r="F128" s="163">
        <f t="shared" si="28"/>
        <v>20587</v>
      </c>
      <c r="G128" s="163">
        <f t="shared" si="29"/>
        <v>21239.5</v>
      </c>
      <c r="H128" s="167">
        <f t="shared" si="30"/>
        <v>3487.0520716203246</v>
      </c>
      <c r="I128" s="312">
        <f t="shared" si="31"/>
        <v>3487.0520716203246</v>
      </c>
      <c r="J128" s="162">
        <f t="shared" si="18"/>
        <v>0</v>
      </c>
      <c r="K128" s="162"/>
      <c r="L128" s="330"/>
      <c r="M128" s="162">
        <f t="shared" si="19"/>
        <v>0</v>
      </c>
      <c r="N128" s="330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2036</v>
      </c>
      <c r="D129" s="158">
        <f>IF(F128+SUM(E$99:E128)=D$92,F128,D$92-SUM(E$99:E128))</f>
        <v>20587</v>
      </c>
      <c r="E129" s="165">
        <f>IF(+J96&lt;F128,J96,D129)</f>
        <v>1305</v>
      </c>
      <c r="F129" s="163">
        <f t="shared" si="28"/>
        <v>19282</v>
      </c>
      <c r="G129" s="163">
        <f t="shared" si="29"/>
        <v>19934.5</v>
      </c>
      <c r="H129" s="167">
        <f t="shared" si="30"/>
        <v>3352.9821569111964</v>
      </c>
      <c r="I129" s="312">
        <f t="shared" si="31"/>
        <v>3352.9821569111964</v>
      </c>
      <c r="J129" s="162">
        <f t="shared" si="18"/>
        <v>0</v>
      </c>
      <c r="K129" s="162"/>
      <c r="L129" s="330"/>
      <c r="M129" s="162">
        <f t="shared" si="19"/>
        <v>0</v>
      </c>
      <c r="N129" s="330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2037</v>
      </c>
      <c r="D130" s="158">
        <f>IF(F129+SUM(E$99:E129)=D$92,F129,D$92-SUM(E$99:E129))</f>
        <v>19282</v>
      </c>
      <c r="E130" s="165">
        <f>IF(+J96&lt;F129,J96,D130)</f>
        <v>1305</v>
      </c>
      <c r="F130" s="163">
        <f t="shared" si="28"/>
        <v>17977</v>
      </c>
      <c r="G130" s="163">
        <f t="shared" si="29"/>
        <v>18629.5</v>
      </c>
      <c r="H130" s="167">
        <f t="shared" si="30"/>
        <v>3218.9122422020682</v>
      </c>
      <c r="I130" s="312">
        <f t="shared" si="31"/>
        <v>3218.9122422020682</v>
      </c>
      <c r="J130" s="162">
        <f t="shared" si="18"/>
        <v>0</v>
      </c>
      <c r="K130" s="162"/>
      <c r="L130" s="330"/>
      <c r="M130" s="162">
        <f t="shared" si="19"/>
        <v>0</v>
      </c>
      <c r="N130" s="330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2038</v>
      </c>
      <c r="D131" s="158">
        <f>IF(F130+SUM(E$99:E130)=D$92,F130,D$92-SUM(E$99:E130))</f>
        <v>17977</v>
      </c>
      <c r="E131" s="165">
        <f>IF(+J96&lt;F130,J96,D131)</f>
        <v>1305</v>
      </c>
      <c r="F131" s="163">
        <f t="shared" ref="F131:F154" si="32">+D131-E131</f>
        <v>16672</v>
      </c>
      <c r="G131" s="163">
        <f t="shared" ref="G131:G154" si="33">+(F131+D131)/2</f>
        <v>17324.5</v>
      </c>
      <c r="H131" s="167">
        <f t="shared" si="30"/>
        <v>3084.8423274929405</v>
      </c>
      <c r="I131" s="312">
        <f t="shared" si="31"/>
        <v>3084.8423274929405</v>
      </c>
      <c r="J131" s="162">
        <f t="shared" ref="J131:J154" si="34">+I131-H131</f>
        <v>0</v>
      </c>
      <c r="K131" s="162"/>
      <c r="L131" s="330"/>
      <c r="M131" s="162">
        <f t="shared" ref="M131:M154" si="35">IF(L131&lt;&gt;0,+H131-L131,0)</f>
        <v>0</v>
      </c>
      <c r="N131" s="330"/>
      <c r="O131" s="162">
        <f t="shared" ref="O131:O154" si="36">IF(N131&lt;&gt;0,+I131-N131,0)</f>
        <v>0</v>
      </c>
      <c r="P131" s="162">
        <f t="shared" ref="P131:P154" si="37">+O131-M131</f>
        <v>0</v>
      </c>
    </row>
    <row r="132" spans="2:16">
      <c r="B132" s="9" t="str">
        <f t="shared" si="22"/>
        <v/>
      </c>
      <c r="C132" s="157">
        <f>IF(D93="","-",+C131+1)</f>
        <v>2039</v>
      </c>
      <c r="D132" s="158">
        <f>IF(F131+SUM(E$99:E131)=D$92,F131,D$92-SUM(E$99:E131))</f>
        <v>16672</v>
      </c>
      <c r="E132" s="165">
        <f>IF(+J96&lt;F131,J96,D132)</f>
        <v>1305</v>
      </c>
      <c r="F132" s="163">
        <f t="shared" si="32"/>
        <v>15367</v>
      </c>
      <c r="G132" s="163">
        <f t="shared" si="33"/>
        <v>16019.5</v>
      </c>
      <c r="H132" s="167">
        <f t="shared" si="30"/>
        <v>2950.7724127838128</v>
      </c>
      <c r="I132" s="312">
        <f t="shared" si="31"/>
        <v>2950.7724127838128</v>
      </c>
      <c r="J132" s="162">
        <f t="shared" si="34"/>
        <v>0</v>
      </c>
      <c r="K132" s="162"/>
      <c r="L132" s="330"/>
      <c r="M132" s="162">
        <f t="shared" si="35"/>
        <v>0</v>
      </c>
      <c r="N132" s="330"/>
      <c r="O132" s="162">
        <f t="shared" si="36"/>
        <v>0</v>
      </c>
      <c r="P132" s="162">
        <f t="shared" si="37"/>
        <v>0</v>
      </c>
    </row>
    <row r="133" spans="2:16">
      <c r="B133" s="9" t="str">
        <f t="shared" si="22"/>
        <v/>
      </c>
      <c r="C133" s="157">
        <f>IF(D93="","-",+C132+1)</f>
        <v>2040</v>
      </c>
      <c r="D133" s="158">
        <f>IF(F132+SUM(E$99:E132)=D$92,F132,D$92-SUM(E$99:E132))</f>
        <v>15367</v>
      </c>
      <c r="E133" s="165">
        <f>IF(+J96&lt;F132,J96,D133)</f>
        <v>1305</v>
      </c>
      <c r="F133" s="163">
        <f t="shared" si="32"/>
        <v>14062</v>
      </c>
      <c r="G133" s="163">
        <f t="shared" si="33"/>
        <v>14714.5</v>
      </c>
      <c r="H133" s="167">
        <f t="shared" si="30"/>
        <v>2816.7024980746846</v>
      </c>
      <c r="I133" s="312">
        <f t="shared" si="31"/>
        <v>2816.7024980746846</v>
      </c>
      <c r="J133" s="162">
        <f t="shared" si="34"/>
        <v>0</v>
      </c>
      <c r="K133" s="162"/>
      <c r="L133" s="330"/>
      <c r="M133" s="162">
        <f t="shared" si="35"/>
        <v>0</v>
      </c>
      <c r="N133" s="330"/>
      <c r="O133" s="162">
        <f t="shared" si="36"/>
        <v>0</v>
      </c>
      <c r="P133" s="162">
        <f t="shared" si="37"/>
        <v>0</v>
      </c>
    </row>
    <row r="134" spans="2:16">
      <c r="B134" s="9" t="str">
        <f t="shared" si="22"/>
        <v/>
      </c>
      <c r="C134" s="157">
        <f>IF(D93="","-",+C133+1)</f>
        <v>2041</v>
      </c>
      <c r="D134" s="158">
        <f>IF(F133+SUM(E$99:E133)=D$92,F133,D$92-SUM(E$99:E133))</f>
        <v>14062</v>
      </c>
      <c r="E134" s="165">
        <f>IF(+J96&lt;F133,J96,D134)</f>
        <v>1305</v>
      </c>
      <c r="F134" s="163">
        <f t="shared" si="32"/>
        <v>12757</v>
      </c>
      <c r="G134" s="163">
        <f t="shared" si="33"/>
        <v>13409.5</v>
      </c>
      <c r="H134" s="167">
        <f t="shared" si="30"/>
        <v>2682.6325833655565</v>
      </c>
      <c r="I134" s="312">
        <f t="shared" si="31"/>
        <v>2682.6325833655565</v>
      </c>
      <c r="J134" s="162">
        <f t="shared" si="34"/>
        <v>0</v>
      </c>
      <c r="K134" s="162"/>
      <c r="L134" s="330"/>
      <c r="M134" s="162">
        <f t="shared" si="35"/>
        <v>0</v>
      </c>
      <c r="N134" s="330"/>
      <c r="O134" s="162">
        <f t="shared" si="36"/>
        <v>0</v>
      </c>
      <c r="P134" s="162">
        <f t="shared" si="37"/>
        <v>0</v>
      </c>
    </row>
    <row r="135" spans="2:16">
      <c r="B135" s="9" t="str">
        <f t="shared" si="22"/>
        <v/>
      </c>
      <c r="C135" s="157">
        <f>IF(D93="","-",+C134+1)</f>
        <v>2042</v>
      </c>
      <c r="D135" s="158">
        <f>IF(F134+SUM(E$99:E134)=D$92,F134,D$92-SUM(E$99:E134))</f>
        <v>12757</v>
      </c>
      <c r="E135" s="165">
        <f>IF(+J96&lt;F134,J96,D135)</f>
        <v>1305</v>
      </c>
      <c r="F135" s="163">
        <f t="shared" si="32"/>
        <v>11452</v>
      </c>
      <c r="G135" s="163">
        <f t="shared" si="33"/>
        <v>12104.5</v>
      </c>
      <c r="H135" s="167">
        <f t="shared" si="30"/>
        <v>2548.5626686564287</v>
      </c>
      <c r="I135" s="312">
        <f t="shared" si="31"/>
        <v>2548.5626686564287</v>
      </c>
      <c r="J135" s="162">
        <f t="shared" si="34"/>
        <v>0</v>
      </c>
      <c r="K135" s="162"/>
      <c r="L135" s="330"/>
      <c r="M135" s="162">
        <f t="shared" si="35"/>
        <v>0</v>
      </c>
      <c r="N135" s="330"/>
      <c r="O135" s="162">
        <f t="shared" si="36"/>
        <v>0</v>
      </c>
      <c r="P135" s="162">
        <f t="shared" si="37"/>
        <v>0</v>
      </c>
    </row>
    <row r="136" spans="2:16">
      <c r="B136" s="9" t="str">
        <f t="shared" si="22"/>
        <v/>
      </c>
      <c r="C136" s="157">
        <f>IF(D93="","-",+C135+1)</f>
        <v>2043</v>
      </c>
      <c r="D136" s="158">
        <f>IF(F135+SUM(E$99:E135)=D$92,F135,D$92-SUM(E$99:E135))</f>
        <v>11452</v>
      </c>
      <c r="E136" s="165">
        <f>IF(+J96&lt;F135,J96,D136)</f>
        <v>1305</v>
      </c>
      <c r="F136" s="163">
        <f t="shared" si="32"/>
        <v>10147</v>
      </c>
      <c r="G136" s="163">
        <f t="shared" si="33"/>
        <v>10799.5</v>
      </c>
      <c r="H136" s="167">
        <f t="shared" si="30"/>
        <v>2414.492753947301</v>
      </c>
      <c r="I136" s="312">
        <f t="shared" si="31"/>
        <v>2414.492753947301</v>
      </c>
      <c r="J136" s="162">
        <f t="shared" si="34"/>
        <v>0</v>
      </c>
      <c r="K136" s="162"/>
      <c r="L136" s="330"/>
      <c r="M136" s="162">
        <f t="shared" si="35"/>
        <v>0</v>
      </c>
      <c r="N136" s="330"/>
      <c r="O136" s="162">
        <f t="shared" si="36"/>
        <v>0</v>
      </c>
      <c r="P136" s="162">
        <f t="shared" si="37"/>
        <v>0</v>
      </c>
    </row>
    <row r="137" spans="2:16">
      <c r="B137" s="9" t="str">
        <f t="shared" si="22"/>
        <v/>
      </c>
      <c r="C137" s="157">
        <f>IF(D93="","-",+C136+1)</f>
        <v>2044</v>
      </c>
      <c r="D137" s="158">
        <f>IF(F136+SUM(E$99:E136)=D$92,F136,D$92-SUM(E$99:E136))</f>
        <v>10147</v>
      </c>
      <c r="E137" s="165">
        <f>IF(+J96&lt;F136,J96,D137)</f>
        <v>1305</v>
      </c>
      <c r="F137" s="163">
        <f t="shared" si="32"/>
        <v>8842</v>
      </c>
      <c r="G137" s="163">
        <f t="shared" si="33"/>
        <v>9494.5</v>
      </c>
      <c r="H137" s="167">
        <f t="shared" si="30"/>
        <v>2280.4228392381729</v>
      </c>
      <c r="I137" s="312">
        <f t="shared" si="31"/>
        <v>2280.4228392381729</v>
      </c>
      <c r="J137" s="162">
        <f t="shared" si="34"/>
        <v>0</v>
      </c>
      <c r="K137" s="162"/>
      <c r="L137" s="330"/>
      <c r="M137" s="162">
        <f t="shared" si="35"/>
        <v>0</v>
      </c>
      <c r="N137" s="330"/>
      <c r="O137" s="162">
        <f t="shared" si="36"/>
        <v>0</v>
      </c>
      <c r="P137" s="162">
        <f t="shared" si="37"/>
        <v>0</v>
      </c>
    </row>
    <row r="138" spans="2:16">
      <c r="B138" s="9" t="str">
        <f t="shared" si="22"/>
        <v/>
      </c>
      <c r="C138" s="157">
        <f>IF(D93="","-",+C137+1)</f>
        <v>2045</v>
      </c>
      <c r="D138" s="158">
        <f>IF(F137+SUM(E$99:E137)=D$92,F137,D$92-SUM(E$99:E137))</f>
        <v>8842</v>
      </c>
      <c r="E138" s="165">
        <f>IF(+J96&lt;F137,J96,D138)</f>
        <v>1305</v>
      </c>
      <c r="F138" s="163">
        <f t="shared" si="32"/>
        <v>7537</v>
      </c>
      <c r="G138" s="163">
        <f t="shared" si="33"/>
        <v>8189.5</v>
      </c>
      <c r="H138" s="167">
        <f t="shared" si="30"/>
        <v>2146.3529245290447</v>
      </c>
      <c r="I138" s="312">
        <f t="shared" si="31"/>
        <v>2146.3529245290447</v>
      </c>
      <c r="J138" s="162">
        <f t="shared" si="34"/>
        <v>0</v>
      </c>
      <c r="K138" s="162"/>
      <c r="L138" s="330"/>
      <c r="M138" s="162">
        <f t="shared" si="35"/>
        <v>0</v>
      </c>
      <c r="N138" s="330"/>
      <c r="O138" s="162">
        <f t="shared" si="36"/>
        <v>0</v>
      </c>
      <c r="P138" s="162">
        <f t="shared" si="37"/>
        <v>0</v>
      </c>
    </row>
    <row r="139" spans="2:16">
      <c r="B139" s="9" t="str">
        <f t="shared" si="22"/>
        <v/>
      </c>
      <c r="C139" s="157">
        <f>IF(D93="","-",+C138+1)</f>
        <v>2046</v>
      </c>
      <c r="D139" s="158">
        <f>IF(F138+SUM(E$99:E138)=D$92,F138,D$92-SUM(E$99:E138))</f>
        <v>7537</v>
      </c>
      <c r="E139" s="165">
        <f>IF(+J96&lt;F138,J96,D139)</f>
        <v>1305</v>
      </c>
      <c r="F139" s="163">
        <f t="shared" si="32"/>
        <v>6232</v>
      </c>
      <c r="G139" s="163">
        <f t="shared" si="33"/>
        <v>6884.5</v>
      </c>
      <c r="H139" s="167">
        <f t="shared" si="30"/>
        <v>2012.283009819917</v>
      </c>
      <c r="I139" s="312">
        <f t="shared" si="31"/>
        <v>2012.283009819917</v>
      </c>
      <c r="J139" s="162">
        <f t="shared" si="34"/>
        <v>0</v>
      </c>
      <c r="K139" s="162"/>
      <c r="L139" s="330"/>
      <c r="M139" s="162">
        <f t="shared" si="35"/>
        <v>0</v>
      </c>
      <c r="N139" s="330"/>
      <c r="O139" s="162">
        <f t="shared" si="36"/>
        <v>0</v>
      </c>
      <c r="P139" s="162">
        <f t="shared" si="37"/>
        <v>0</v>
      </c>
    </row>
    <row r="140" spans="2:16">
      <c r="B140" s="9" t="str">
        <f t="shared" si="22"/>
        <v/>
      </c>
      <c r="C140" s="157">
        <f>IF(D93="","-",+C139+1)</f>
        <v>2047</v>
      </c>
      <c r="D140" s="158">
        <f>IF(F139+SUM(E$99:E139)=D$92,F139,D$92-SUM(E$99:E139))</f>
        <v>6232</v>
      </c>
      <c r="E140" s="165">
        <f>IF(+J96&lt;F139,J96,D140)</f>
        <v>1305</v>
      </c>
      <c r="F140" s="163">
        <f t="shared" si="32"/>
        <v>4927</v>
      </c>
      <c r="G140" s="163">
        <f t="shared" si="33"/>
        <v>5579.5</v>
      </c>
      <c r="H140" s="167">
        <f t="shared" si="30"/>
        <v>1878.2130951107888</v>
      </c>
      <c r="I140" s="312">
        <f t="shared" si="31"/>
        <v>1878.2130951107888</v>
      </c>
      <c r="J140" s="162">
        <f t="shared" si="34"/>
        <v>0</v>
      </c>
      <c r="K140" s="162"/>
      <c r="L140" s="330"/>
      <c r="M140" s="162">
        <f t="shared" si="35"/>
        <v>0</v>
      </c>
      <c r="N140" s="330"/>
      <c r="O140" s="162">
        <f t="shared" si="36"/>
        <v>0</v>
      </c>
      <c r="P140" s="162">
        <f t="shared" si="37"/>
        <v>0</v>
      </c>
    </row>
    <row r="141" spans="2:16">
      <c r="B141" s="9" t="str">
        <f t="shared" si="22"/>
        <v/>
      </c>
      <c r="C141" s="157">
        <f>IF(D93="","-",+C140+1)</f>
        <v>2048</v>
      </c>
      <c r="D141" s="158">
        <f>IF(F140+SUM(E$99:E140)=D$92,F140,D$92-SUM(E$99:E140))</f>
        <v>4927</v>
      </c>
      <c r="E141" s="165">
        <f>IF(+J96&lt;F140,J96,D141)</f>
        <v>1305</v>
      </c>
      <c r="F141" s="163">
        <f t="shared" si="32"/>
        <v>3622</v>
      </c>
      <c r="G141" s="163">
        <f t="shared" si="33"/>
        <v>4274.5</v>
      </c>
      <c r="H141" s="167">
        <f t="shared" si="30"/>
        <v>1744.1431804016609</v>
      </c>
      <c r="I141" s="312">
        <f t="shared" si="31"/>
        <v>1744.1431804016609</v>
      </c>
      <c r="J141" s="162">
        <f t="shared" si="34"/>
        <v>0</v>
      </c>
      <c r="K141" s="162"/>
      <c r="L141" s="330"/>
      <c r="M141" s="162">
        <f t="shared" si="35"/>
        <v>0</v>
      </c>
      <c r="N141" s="330"/>
      <c r="O141" s="162">
        <f t="shared" si="36"/>
        <v>0</v>
      </c>
      <c r="P141" s="162">
        <f t="shared" si="37"/>
        <v>0</v>
      </c>
    </row>
    <row r="142" spans="2:16">
      <c r="B142" s="9" t="str">
        <f t="shared" si="22"/>
        <v/>
      </c>
      <c r="C142" s="157">
        <f>IF(D93="","-",+C141+1)</f>
        <v>2049</v>
      </c>
      <c r="D142" s="158">
        <f>IF(F141+SUM(E$99:E141)=D$92,F141,D$92-SUM(E$99:E141))</f>
        <v>3622</v>
      </c>
      <c r="E142" s="165">
        <f>IF(+J96&lt;F141,J96,D142)</f>
        <v>1305</v>
      </c>
      <c r="F142" s="163">
        <f t="shared" si="32"/>
        <v>2317</v>
      </c>
      <c r="G142" s="163">
        <f t="shared" si="33"/>
        <v>2969.5</v>
      </c>
      <c r="H142" s="167">
        <f t="shared" si="30"/>
        <v>1610.0732656925329</v>
      </c>
      <c r="I142" s="312">
        <f t="shared" si="31"/>
        <v>1610.0732656925329</v>
      </c>
      <c r="J142" s="162">
        <f t="shared" si="34"/>
        <v>0</v>
      </c>
      <c r="K142" s="162"/>
      <c r="L142" s="330"/>
      <c r="M142" s="162">
        <f t="shared" si="35"/>
        <v>0</v>
      </c>
      <c r="N142" s="330"/>
      <c r="O142" s="162">
        <f t="shared" si="36"/>
        <v>0</v>
      </c>
      <c r="P142" s="162">
        <f t="shared" si="37"/>
        <v>0</v>
      </c>
    </row>
    <row r="143" spans="2:16">
      <c r="B143" s="9" t="str">
        <f t="shared" si="22"/>
        <v/>
      </c>
      <c r="C143" s="157">
        <f>IF(D93="","-",+C142+1)</f>
        <v>2050</v>
      </c>
      <c r="D143" s="158">
        <f>IF(F142+SUM(E$99:E142)=D$92,F142,D$92-SUM(E$99:E142))</f>
        <v>2317</v>
      </c>
      <c r="E143" s="165">
        <f>IF(+J96&lt;F142,J96,D143)</f>
        <v>1305</v>
      </c>
      <c r="F143" s="163">
        <f t="shared" si="32"/>
        <v>1012</v>
      </c>
      <c r="G143" s="163">
        <f t="shared" si="33"/>
        <v>1664.5</v>
      </c>
      <c r="H143" s="167">
        <f t="shared" si="30"/>
        <v>1476.003350983405</v>
      </c>
      <c r="I143" s="312">
        <f t="shared" si="31"/>
        <v>1476.003350983405</v>
      </c>
      <c r="J143" s="162">
        <f t="shared" si="34"/>
        <v>0</v>
      </c>
      <c r="K143" s="162"/>
      <c r="L143" s="330"/>
      <c r="M143" s="162">
        <f t="shared" si="35"/>
        <v>0</v>
      </c>
      <c r="N143" s="330"/>
      <c r="O143" s="162">
        <f t="shared" si="36"/>
        <v>0</v>
      </c>
      <c r="P143" s="162">
        <f t="shared" si="37"/>
        <v>0</v>
      </c>
    </row>
    <row r="144" spans="2:16">
      <c r="B144" s="9" t="str">
        <f t="shared" si="22"/>
        <v/>
      </c>
      <c r="C144" s="157">
        <f>IF(D93="","-",+C143+1)</f>
        <v>2051</v>
      </c>
      <c r="D144" s="158">
        <f>IF(F143+SUM(E$99:E143)=D$92,F143,D$92-SUM(E$99:E143))</f>
        <v>1012</v>
      </c>
      <c r="E144" s="165">
        <f>IF(+J96&lt;F143,J96,D144)</f>
        <v>1012</v>
      </c>
      <c r="F144" s="163">
        <f t="shared" si="32"/>
        <v>0</v>
      </c>
      <c r="G144" s="163">
        <f t="shared" si="33"/>
        <v>506</v>
      </c>
      <c r="H144" s="167">
        <f t="shared" si="30"/>
        <v>1063.9841968144206</v>
      </c>
      <c r="I144" s="312">
        <f t="shared" si="31"/>
        <v>1063.9841968144206</v>
      </c>
      <c r="J144" s="162">
        <f t="shared" si="34"/>
        <v>0</v>
      </c>
      <c r="K144" s="162"/>
      <c r="L144" s="330"/>
      <c r="M144" s="162">
        <f t="shared" si="35"/>
        <v>0</v>
      </c>
      <c r="N144" s="330"/>
      <c r="O144" s="162">
        <f t="shared" si="36"/>
        <v>0</v>
      </c>
      <c r="P144" s="162">
        <f t="shared" si="37"/>
        <v>0</v>
      </c>
    </row>
    <row r="145" spans="2:16">
      <c r="B145" s="9" t="str">
        <f t="shared" si="22"/>
        <v/>
      </c>
      <c r="C145" s="157">
        <f>IF(D93="","-",+C144+1)</f>
        <v>2052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2"/>
        <v>0</v>
      </c>
      <c r="G145" s="163">
        <f t="shared" si="33"/>
        <v>0</v>
      </c>
      <c r="H145" s="167">
        <f t="shared" si="30"/>
        <v>0</v>
      </c>
      <c r="I145" s="312">
        <f t="shared" si="31"/>
        <v>0</v>
      </c>
      <c r="J145" s="162">
        <f t="shared" si="34"/>
        <v>0</v>
      </c>
      <c r="K145" s="162"/>
      <c r="L145" s="330"/>
      <c r="M145" s="162">
        <f t="shared" si="35"/>
        <v>0</v>
      </c>
      <c r="N145" s="330"/>
      <c r="O145" s="162">
        <f t="shared" si="36"/>
        <v>0</v>
      </c>
      <c r="P145" s="162">
        <f t="shared" si="37"/>
        <v>0</v>
      </c>
    </row>
    <row r="146" spans="2:16">
      <c r="B146" s="9" t="str">
        <f t="shared" si="22"/>
        <v/>
      </c>
      <c r="C146" s="157">
        <f>IF(D93="","-",+C145+1)</f>
        <v>2053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2"/>
        <v>0</v>
      </c>
      <c r="G146" s="163">
        <f t="shared" si="33"/>
        <v>0</v>
      </c>
      <c r="H146" s="167">
        <f t="shared" si="30"/>
        <v>0</v>
      </c>
      <c r="I146" s="312">
        <f t="shared" si="31"/>
        <v>0</v>
      </c>
      <c r="J146" s="162">
        <f t="shared" si="34"/>
        <v>0</v>
      </c>
      <c r="K146" s="162"/>
      <c r="L146" s="330"/>
      <c r="M146" s="162">
        <f t="shared" si="35"/>
        <v>0</v>
      </c>
      <c r="N146" s="330"/>
      <c r="O146" s="162">
        <f t="shared" si="36"/>
        <v>0</v>
      </c>
      <c r="P146" s="162">
        <f t="shared" si="37"/>
        <v>0</v>
      </c>
    </row>
    <row r="147" spans="2:16">
      <c r="B147" s="9" t="str">
        <f t="shared" si="22"/>
        <v/>
      </c>
      <c r="C147" s="157">
        <f>IF(D93="","-",+C146+1)</f>
        <v>2054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2"/>
        <v>0</v>
      </c>
      <c r="G147" s="163">
        <f t="shared" si="33"/>
        <v>0</v>
      </c>
      <c r="H147" s="167">
        <f t="shared" si="30"/>
        <v>0</v>
      </c>
      <c r="I147" s="312">
        <f t="shared" si="31"/>
        <v>0</v>
      </c>
      <c r="J147" s="162">
        <f t="shared" si="34"/>
        <v>0</v>
      </c>
      <c r="K147" s="162"/>
      <c r="L147" s="330"/>
      <c r="M147" s="162">
        <f t="shared" si="35"/>
        <v>0</v>
      </c>
      <c r="N147" s="330"/>
      <c r="O147" s="162">
        <f t="shared" si="36"/>
        <v>0</v>
      </c>
      <c r="P147" s="162">
        <f t="shared" si="37"/>
        <v>0</v>
      </c>
    </row>
    <row r="148" spans="2:16">
      <c r="B148" s="9" t="str">
        <f t="shared" si="22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2"/>
        <v>0</v>
      </c>
      <c r="G148" s="163">
        <f t="shared" si="33"/>
        <v>0</v>
      </c>
      <c r="H148" s="167">
        <f t="shared" si="30"/>
        <v>0</v>
      </c>
      <c r="I148" s="312">
        <f t="shared" si="31"/>
        <v>0</v>
      </c>
      <c r="J148" s="162">
        <f t="shared" si="34"/>
        <v>0</v>
      </c>
      <c r="K148" s="162"/>
      <c r="L148" s="330"/>
      <c r="M148" s="162">
        <f t="shared" si="35"/>
        <v>0</v>
      </c>
      <c r="N148" s="330"/>
      <c r="O148" s="162">
        <f t="shared" si="36"/>
        <v>0</v>
      </c>
      <c r="P148" s="162">
        <f t="shared" si="37"/>
        <v>0</v>
      </c>
    </row>
    <row r="149" spans="2:16">
      <c r="B149" s="9" t="str">
        <f t="shared" si="22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2"/>
        <v>0</v>
      </c>
      <c r="G149" s="163">
        <f t="shared" si="33"/>
        <v>0</v>
      </c>
      <c r="H149" s="167">
        <f t="shared" si="30"/>
        <v>0</v>
      </c>
      <c r="I149" s="312">
        <f t="shared" si="31"/>
        <v>0</v>
      </c>
      <c r="J149" s="162">
        <f t="shared" si="34"/>
        <v>0</v>
      </c>
      <c r="K149" s="162"/>
      <c r="L149" s="330"/>
      <c r="M149" s="162">
        <f t="shared" si="35"/>
        <v>0</v>
      </c>
      <c r="N149" s="330"/>
      <c r="O149" s="162">
        <f t="shared" si="36"/>
        <v>0</v>
      </c>
      <c r="P149" s="162">
        <f t="shared" si="37"/>
        <v>0</v>
      </c>
    </row>
    <row r="150" spans="2:16">
      <c r="B150" s="9" t="str">
        <f t="shared" si="22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2"/>
        <v>0</v>
      </c>
      <c r="G150" s="163">
        <f t="shared" si="33"/>
        <v>0</v>
      </c>
      <c r="H150" s="167">
        <f t="shared" si="30"/>
        <v>0</v>
      </c>
      <c r="I150" s="312">
        <f t="shared" si="31"/>
        <v>0</v>
      </c>
      <c r="J150" s="162">
        <f t="shared" si="34"/>
        <v>0</v>
      </c>
      <c r="K150" s="162"/>
      <c r="L150" s="330"/>
      <c r="M150" s="162">
        <f t="shared" si="35"/>
        <v>0</v>
      </c>
      <c r="N150" s="330"/>
      <c r="O150" s="162">
        <f t="shared" si="36"/>
        <v>0</v>
      </c>
      <c r="P150" s="162">
        <f t="shared" si="37"/>
        <v>0</v>
      </c>
    </row>
    <row r="151" spans="2:16">
      <c r="B151" s="9" t="str">
        <f t="shared" si="22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2"/>
        <v>0</v>
      </c>
      <c r="G151" s="163">
        <f t="shared" si="33"/>
        <v>0</v>
      </c>
      <c r="H151" s="167">
        <f t="shared" si="30"/>
        <v>0</v>
      </c>
      <c r="I151" s="312">
        <f t="shared" si="31"/>
        <v>0</v>
      </c>
      <c r="J151" s="162">
        <f t="shared" si="34"/>
        <v>0</v>
      </c>
      <c r="K151" s="162"/>
      <c r="L151" s="330"/>
      <c r="M151" s="162">
        <f t="shared" si="35"/>
        <v>0</v>
      </c>
      <c r="N151" s="330"/>
      <c r="O151" s="162">
        <f t="shared" si="36"/>
        <v>0</v>
      </c>
      <c r="P151" s="162">
        <f t="shared" si="37"/>
        <v>0</v>
      </c>
    </row>
    <row r="152" spans="2:16">
      <c r="B152" s="9" t="str">
        <f t="shared" si="22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2"/>
        <v>0</v>
      </c>
      <c r="G152" s="163">
        <f t="shared" si="33"/>
        <v>0</v>
      </c>
      <c r="H152" s="167">
        <f t="shared" si="30"/>
        <v>0</v>
      </c>
      <c r="I152" s="312">
        <f t="shared" si="31"/>
        <v>0</v>
      </c>
      <c r="J152" s="162">
        <f t="shared" si="34"/>
        <v>0</v>
      </c>
      <c r="K152" s="162"/>
      <c r="L152" s="330"/>
      <c r="M152" s="162">
        <f t="shared" si="35"/>
        <v>0</v>
      </c>
      <c r="N152" s="330"/>
      <c r="O152" s="162">
        <f t="shared" si="36"/>
        <v>0</v>
      </c>
      <c r="P152" s="162">
        <f t="shared" si="37"/>
        <v>0</v>
      </c>
    </row>
    <row r="153" spans="2:16">
      <c r="B153" s="9" t="str">
        <f t="shared" si="22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2"/>
        <v>0</v>
      </c>
      <c r="G153" s="163">
        <f t="shared" si="33"/>
        <v>0</v>
      </c>
      <c r="H153" s="167">
        <f t="shared" si="30"/>
        <v>0</v>
      </c>
      <c r="I153" s="312">
        <f t="shared" si="31"/>
        <v>0</v>
      </c>
      <c r="J153" s="162">
        <f t="shared" si="34"/>
        <v>0</v>
      </c>
      <c r="K153" s="162"/>
      <c r="L153" s="330"/>
      <c r="M153" s="162">
        <f t="shared" si="35"/>
        <v>0</v>
      </c>
      <c r="N153" s="330"/>
      <c r="O153" s="162">
        <f t="shared" si="36"/>
        <v>0</v>
      </c>
      <c r="P153" s="162">
        <f t="shared" si="37"/>
        <v>0</v>
      </c>
    </row>
    <row r="154" spans="2:16" ht="13.5" thickBot="1">
      <c r="B154" s="9" t="str">
        <f t="shared" si="22"/>
        <v/>
      </c>
      <c r="C154" s="168">
        <f>IF(D93="","-",+C153+1)</f>
        <v>2061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32"/>
        <v>0</v>
      </c>
      <c r="G154" s="169">
        <f t="shared" si="33"/>
        <v>0</v>
      </c>
      <c r="H154" s="171">
        <f t="shared" si="30"/>
        <v>0</v>
      </c>
      <c r="I154" s="313">
        <f t="shared" si="31"/>
        <v>0</v>
      </c>
      <c r="J154" s="173">
        <f t="shared" si="34"/>
        <v>0</v>
      </c>
      <c r="K154" s="162"/>
      <c r="L154" s="331"/>
      <c r="M154" s="173">
        <f t="shared" si="35"/>
        <v>0</v>
      </c>
      <c r="N154" s="331"/>
      <c r="O154" s="173">
        <f t="shared" si="36"/>
        <v>0</v>
      </c>
      <c r="P154" s="173">
        <f t="shared" si="37"/>
        <v>0</v>
      </c>
    </row>
    <row r="155" spans="2:16">
      <c r="C155" s="158" t="s">
        <v>77</v>
      </c>
      <c r="D155" s="115"/>
      <c r="E155" s="115">
        <f>SUM(E99:E154)</f>
        <v>56133</v>
      </c>
      <c r="F155" s="115"/>
      <c r="G155" s="115"/>
      <c r="H155" s="115">
        <f>SUM(H99:H154)</f>
        <v>202759.37448557391</v>
      </c>
      <c r="I155" s="115">
        <f>SUM(I99:I154)</f>
        <v>202759.37448557391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view="pageBreakPreview" zoomScale="75" zoomScaleNormal="100" workbookViewId="0">
      <selection activeCell="D28" sqref="D28:H2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9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9219.7957260985368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9219.7957260985368</v>
      </c>
      <c r="O6" s="1"/>
      <c r="P6" s="1"/>
    </row>
    <row r="7" spans="1:16" ht="13.5" thickBot="1">
      <c r="C7" s="127" t="s">
        <v>46</v>
      </c>
      <c r="D7" s="338" t="s">
        <v>216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88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72551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4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1612.2444444444445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2007</v>
      </c>
      <c r="D17" s="361">
        <v>72551</v>
      </c>
      <c r="E17" s="362">
        <v>863.70238095238085</v>
      </c>
      <c r="F17" s="361">
        <v>71687.297619047618</v>
      </c>
      <c r="G17" s="362">
        <v>11207.929543529199</v>
      </c>
      <c r="H17" s="365">
        <v>11207.929543529199</v>
      </c>
      <c r="I17" s="160">
        <f t="shared" ref="I17:I48" si="0">H17-G17</f>
        <v>0</v>
      </c>
      <c r="J17" s="160"/>
      <c r="K17" s="332">
        <v>0</v>
      </c>
      <c r="L17" s="161">
        <f t="shared" ref="L17:L48" si="1">IF(K17&lt;&gt;0,+G17-K17,0)</f>
        <v>0</v>
      </c>
      <c r="M17" s="332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66">
        <v>71687.297619047618</v>
      </c>
      <c r="E18" s="363">
        <v>1295.5535714285713</v>
      </c>
      <c r="F18" s="366">
        <v>70391.744047619053</v>
      </c>
      <c r="G18" s="363">
        <v>11452.836869621469</v>
      </c>
      <c r="H18" s="365">
        <v>11452.836869621469</v>
      </c>
      <c r="I18" s="160">
        <f t="shared" si="0"/>
        <v>0</v>
      </c>
      <c r="J18" s="160"/>
      <c r="K18" s="333">
        <v>0</v>
      </c>
      <c r="L18" s="162">
        <f t="shared" si="1"/>
        <v>0</v>
      </c>
      <c r="M18" s="333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66">
        <v>70391.744047619053</v>
      </c>
      <c r="E19" s="363">
        <v>1295.5535714285713</v>
      </c>
      <c r="F19" s="366">
        <v>69096.190476190488</v>
      </c>
      <c r="G19" s="363">
        <v>11265.893005237553</v>
      </c>
      <c r="H19" s="365">
        <v>11265.893005237553</v>
      </c>
      <c r="I19" s="160">
        <f t="shared" si="0"/>
        <v>0</v>
      </c>
      <c r="J19" s="160"/>
      <c r="K19" s="333">
        <v>0</v>
      </c>
      <c r="L19" s="162">
        <f t="shared" si="1"/>
        <v>0</v>
      </c>
      <c r="M19" s="333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66">
        <v>69096.190476190488</v>
      </c>
      <c r="E20" s="363">
        <v>1295.5535714285713</v>
      </c>
      <c r="F20" s="366">
        <v>67800.636904761923</v>
      </c>
      <c r="G20" s="363">
        <v>11078.949140853634</v>
      </c>
      <c r="H20" s="365">
        <v>11078.949140853634</v>
      </c>
      <c r="I20" s="160">
        <f t="shared" si="0"/>
        <v>0</v>
      </c>
      <c r="J20" s="160"/>
      <c r="K20" s="375">
        <f t="shared" ref="K20:K25" si="5">G20</f>
        <v>11078.949140853634</v>
      </c>
      <c r="L20" s="376">
        <f t="shared" si="1"/>
        <v>0</v>
      </c>
      <c r="M20" s="375">
        <f t="shared" ref="M20:M25" si="6">H20</f>
        <v>11078.949140853634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66">
        <v>67800.636904761923</v>
      </c>
      <c r="E21" s="363">
        <v>1422.5686274509803</v>
      </c>
      <c r="F21" s="366">
        <v>66378.068277310944</v>
      </c>
      <c r="G21" s="363">
        <v>11813.613268851301</v>
      </c>
      <c r="H21" s="365">
        <v>11813.613268851301</v>
      </c>
      <c r="I21" s="160">
        <f t="shared" si="0"/>
        <v>0</v>
      </c>
      <c r="J21" s="160"/>
      <c r="K21" s="333">
        <f t="shared" si="5"/>
        <v>11813.613268851301</v>
      </c>
      <c r="L21" s="269">
        <f t="shared" si="1"/>
        <v>0</v>
      </c>
      <c r="M21" s="333">
        <f t="shared" si="6"/>
        <v>11813.613268851301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66">
        <v>66378.068277310944</v>
      </c>
      <c r="E22" s="363">
        <v>1395.2115384615386</v>
      </c>
      <c r="F22" s="366">
        <v>64982.856738849405</v>
      </c>
      <c r="G22" s="363">
        <v>10441.262785463339</v>
      </c>
      <c r="H22" s="365">
        <v>10441.262785463339</v>
      </c>
      <c r="I22" s="160">
        <f t="shared" si="0"/>
        <v>0</v>
      </c>
      <c r="J22" s="160"/>
      <c r="K22" s="333">
        <f t="shared" si="5"/>
        <v>10441.262785463339</v>
      </c>
      <c r="L22" s="269">
        <f t="shared" si="1"/>
        <v>0</v>
      </c>
      <c r="M22" s="333">
        <f t="shared" si="6"/>
        <v>10441.262785463339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66">
        <v>64982.856738849405</v>
      </c>
      <c r="E23" s="363">
        <v>1395.2115384615386</v>
      </c>
      <c r="F23" s="366">
        <v>63587.645200387866</v>
      </c>
      <c r="G23" s="363">
        <v>10475.957148527981</v>
      </c>
      <c r="H23" s="365">
        <v>10475.957148527981</v>
      </c>
      <c r="I23" s="160">
        <v>0</v>
      </c>
      <c r="J23" s="160"/>
      <c r="K23" s="333">
        <f t="shared" si="5"/>
        <v>10475.957148527981</v>
      </c>
      <c r="L23" s="269">
        <f t="shared" ref="L23:L28" si="7">IF(K23&lt;&gt;0,+G23-K23,0)</f>
        <v>0</v>
      </c>
      <c r="M23" s="333">
        <f t="shared" si="6"/>
        <v>10475.957148527981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66">
        <v>63587.645200387866</v>
      </c>
      <c r="E24" s="363">
        <v>1395.2115384615386</v>
      </c>
      <c r="F24" s="366">
        <v>62192.433661926327</v>
      </c>
      <c r="G24" s="363">
        <v>9956.5453160541092</v>
      </c>
      <c r="H24" s="365">
        <v>9956.5453160541092</v>
      </c>
      <c r="I24" s="160">
        <v>0</v>
      </c>
      <c r="J24" s="160"/>
      <c r="K24" s="333">
        <f t="shared" si="5"/>
        <v>9956.5453160541092</v>
      </c>
      <c r="L24" s="269">
        <f t="shared" si="7"/>
        <v>0</v>
      </c>
      <c r="M24" s="333">
        <f t="shared" si="6"/>
        <v>9956.5453160541092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66">
        <v>62192.433661926327</v>
      </c>
      <c r="E25" s="363">
        <v>1395.2115384615386</v>
      </c>
      <c r="F25" s="366">
        <v>60797.222123464788</v>
      </c>
      <c r="G25" s="363">
        <v>9777.4252794187214</v>
      </c>
      <c r="H25" s="365">
        <v>9777.4252794187214</v>
      </c>
      <c r="I25" s="160">
        <v>0</v>
      </c>
      <c r="J25" s="160"/>
      <c r="K25" s="333">
        <f t="shared" si="5"/>
        <v>9777.4252794187214</v>
      </c>
      <c r="L25" s="269">
        <f t="shared" si="7"/>
        <v>0</v>
      </c>
      <c r="M25" s="333">
        <f t="shared" si="6"/>
        <v>9777.4252794187214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66">
        <v>60797.222123464788</v>
      </c>
      <c r="E26" s="363">
        <v>1395.2115384615386</v>
      </c>
      <c r="F26" s="366">
        <v>59402.010585003249</v>
      </c>
      <c r="G26" s="363">
        <v>9186.357507240491</v>
      </c>
      <c r="H26" s="365">
        <v>9186.357507240491</v>
      </c>
      <c r="I26" s="160">
        <f t="shared" si="0"/>
        <v>0</v>
      </c>
      <c r="J26" s="160"/>
      <c r="K26" s="333">
        <f>G26</f>
        <v>9186.357507240491</v>
      </c>
      <c r="L26" s="269">
        <f t="shared" si="7"/>
        <v>0</v>
      </c>
      <c r="M26" s="333">
        <f>H26</f>
        <v>9186.357507240491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66">
        <v>59402.010585003249</v>
      </c>
      <c r="E27" s="363">
        <v>1577.195652173913</v>
      </c>
      <c r="F27" s="366">
        <v>57824.814932829337</v>
      </c>
      <c r="G27" s="363">
        <v>8936.0194589414823</v>
      </c>
      <c r="H27" s="365">
        <v>8936.0194589414823</v>
      </c>
      <c r="I27" s="160">
        <f t="shared" si="0"/>
        <v>0</v>
      </c>
      <c r="J27" s="160"/>
      <c r="K27" s="333">
        <f>G27</f>
        <v>8936.0194589414823</v>
      </c>
      <c r="L27" s="269">
        <f t="shared" si="7"/>
        <v>0</v>
      </c>
      <c r="M27" s="333">
        <f>H27</f>
        <v>8936.0194589414823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66">
        <v>57824.814932829337</v>
      </c>
      <c r="E28" s="363">
        <v>1612.2444444444445</v>
      </c>
      <c r="F28" s="366">
        <v>56212.570488384896</v>
      </c>
      <c r="G28" s="363">
        <v>9219.7957260985368</v>
      </c>
      <c r="H28" s="365">
        <v>9219.7957260985368</v>
      </c>
      <c r="I28" s="160">
        <f t="shared" si="0"/>
        <v>0</v>
      </c>
      <c r="J28" s="160"/>
      <c r="K28" s="333">
        <f>G28</f>
        <v>9219.7957260985368</v>
      </c>
      <c r="L28" s="269">
        <f t="shared" si="7"/>
        <v>0</v>
      </c>
      <c r="M28" s="333">
        <f>H28</f>
        <v>9219.7957260985368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163">
        <f>IF(F28+SUM(E$17:E28)=D$10,F28,D$10-SUM(E$17:E28))</f>
        <v>56212.570488384896</v>
      </c>
      <c r="E29" s="164">
        <f>IF(+I14&lt;F28,I14,D29)</f>
        <v>1612.2444444444445</v>
      </c>
      <c r="F29" s="163">
        <f t="shared" ref="F29:F48" si="10">+D29-E29</f>
        <v>54600.326043940455</v>
      </c>
      <c r="G29" s="165">
        <f t="shared" ref="G29:G72" si="11">+I$12*F29+E29</f>
        <v>9001.6019629756192</v>
      </c>
      <c r="H29" s="147">
        <f t="shared" ref="H29:H72" si="12">+I$13*F29+E29</f>
        <v>9001.6019629756192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54600.326043940455</v>
      </c>
      <c r="E30" s="164">
        <f>IF(+I14&lt;F29,I14,D30)</f>
        <v>1612.2444444444445</v>
      </c>
      <c r="F30" s="163">
        <f t="shared" si="10"/>
        <v>52988.081599496014</v>
      </c>
      <c r="G30" s="165">
        <f t="shared" si="11"/>
        <v>8783.4081998526999</v>
      </c>
      <c r="H30" s="147">
        <f t="shared" si="12"/>
        <v>8783.4081998526999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52988.081599496014</v>
      </c>
      <c r="E31" s="164">
        <f>IF(+I14&lt;F30,I14,D31)</f>
        <v>1612.2444444444445</v>
      </c>
      <c r="F31" s="163">
        <f t="shared" si="10"/>
        <v>51375.837155051573</v>
      </c>
      <c r="G31" s="165">
        <f t="shared" si="11"/>
        <v>8565.2144367297806</v>
      </c>
      <c r="H31" s="147">
        <f t="shared" si="12"/>
        <v>8565.2144367297806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51375.837155051573</v>
      </c>
      <c r="E32" s="164">
        <f>IF(+I14&lt;F31,I14,D32)</f>
        <v>1612.2444444444445</v>
      </c>
      <c r="F32" s="163">
        <f t="shared" si="10"/>
        <v>49763.592710607132</v>
      </c>
      <c r="G32" s="165">
        <f t="shared" si="11"/>
        <v>8347.0206736068649</v>
      </c>
      <c r="H32" s="147">
        <f t="shared" si="12"/>
        <v>8347.0206736068649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49763.592710607132</v>
      </c>
      <c r="E33" s="164">
        <f>IF(+I14&lt;F32,I14,D33)</f>
        <v>1612.2444444444445</v>
      </c>
      <c r="F33" s="163">
        <f t="shared" si="10"/>
        <v>48151.348266162691</v>
      </c>
      <c r="G33" s="165">
        <f t="shared" si="11"/>
        <v>8128.8269104839455</v>
      </c>
      <c r="H33" s="147">
        <f t="shared" si="12"/>
        <v>8128.8269104839455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48151.348266162691</v>
      </c>
      <c r="E34" s="164">
        <f>IF(+I14&lt;F33,I14,D34)</f>
        <v>1612.2444444444445</v>
      </c>
      <c r="F34" s="163">
        <f t="shared" si="10"/>
        <v>46539.10382171825</v>
      </c>
      <c r="G34" s="165">
        <f t="shared" si="11"/>
        <v>7910.6331473610271</v>
      </c>
      <c r="H34" s="147">
        <f t="shared" si="12"/>
        <v>7910.6331473610271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46539.10382171825</v>
      </c>
      <c r="E35" s="164">
        <f>IF(+I14&lt;F34,I14,D35)</f>
        <v>1612.2444444444445</v>
      </c>
      <c r="F35" s="163">
        <f t="shared" si="10"/>
        <v>44926.85937727381</v>
      </c>
      <c r="G35" s="165">
        <f t="shared" si="11"/>
        <v>7692.4393842381087</v>
      </c>
      <c r="H35" s="147">
        <f t="shared" si="12"/>
        <v>7692.4393842381087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44926.859377273759</v>
      </c>
      <c r="E36" s="164">
        <f>IF(+I14&lt;F35,I14,D36)</f>
        <v>1612.2444444444445</v>
      </c>
      <c r="F36" s="163">
        <f t="shared" si="10"/>
        <v>43314.61493282931</v>
      </c>
      <c r="G36" s="165">
        <f t="shared" si="11"/>
        <v>7474.245621115183</v>
      </c>
      <c r="H36" s="147">
        <f t="shared" si="12"/>
        <v>7474.245621115183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43314.61493282931</v>
      </c>
      <c r="E37" s="164">
        <f>IF(+I14&lt;F36,I14,D37)</f>
        <v>1612.2444444444445</v>
      </c>
      <c r="F37" s="163">
        <f t="shared" si="10"/>
        <v>41702.37048838487</v>
      </c>
      <c r="G37" s="165">
        <f t="shared" si="11"/>
        <v>7256.0518579922646</v>
      </c>
      <c r="H37" s="147">
        <f t="shared" si="12"/>
        <v>7256.0518579922646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41702.37048838487</v>
      </c>
      <c r="E38" s="164">
        <f>IF(+I14&lt;F37,I14,D38)</f>
        <v>1612.2444444444445</v>
      </c>
      <c r="F38" s="163">
        <f t="shared" si="10"/>
        <v>40090.126043940429</v>
      </c>
      <c r="G38" s="165">
        <f t="shared" si="11"/>
        <v>7037.858094869347</v>
      </c>
      <c r="H38" s="147">
        <f t="shared" si="12"/>
        <v>7037.858094869347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40090.126043940429</v>
      </c>
      <c r="E39" s="164">
        <f>IF(+I14&lt;F38,I14,D39)</f>
        <v>1612.2444444444445</v>
      </c>
      <c r="F39" s="163">
        <f t="shared" si="10"/>
        <v>38477.881599495988</v>
      </c>
      <c r="G39" s="165">
        <f t="shared" si="11"/>
        <v>6819.6643317464286</v>
      </c>
      <c r="H39" s="147">
        <f t="shared" si="12"/>
        <v>6819.6643317464286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38477.881599495988</v>
      </c>
      <c r="E40" s="164">
        <f>IF(+I14&lt;F39,I14,D40)</f>
        <v>1612.2444444444445</v>
      </c>
      <c r="F40" s="163">
        <f t="shared" si="10"/>
        <v>36865.637155051547</v>
      </c>
      <c r="G40" s="165">
        <f t="shared" si="11"/>
        <v>6601.4705686235102</v>
      </c>
      <c r="H40" s="147">
        <f t="shared" si="12"/>
        <v>6601.4705686235102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36865.637155051547</v>
      </c>
      <c r="E41" s="164">
        <f>IF(+I14&lt;F40,I14,D41)</f>
        <v>1612.2444444444445</v>
      </c>
      <c r="F41" s="163">
        <f t="shared" si="10"/>
        <v>35253.392710607106</v>
      </c>
      <c r="G41" s="165">
        <f t="shared" si="11"/>
        <v>6383.2768055005918</v>
      </c>
      <c r="H41" s="147">
        <f t="shared" si="12"/>
        <v>6383.2768055005918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35253.392710607106</v>
      </c>
      <c r="E42" s="164">
        <f>IF(+I14&lt;F41,I14,D42)</f>
        <v>1612.2444444444445</v>
      </c>
      <c r="F42" s="163">
        <f t="shared" si="10"/>
        <v>33641.148266162665</v>
      </c>
      <c r="G42" s="165">
        <f t="shared" si="11"/>
        <v>6165.0830423776742</v>
      </c>
      <c r="H42" s="147">
        <f t="shared" si="12"/>
        <v>6165.0830423776742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33641.148266162665</v>
      </c>
      <c r="E43" s="164">
        <f>IF(+I14&lt;F42,I14,D43)</f>
        <v>1612.2444444444445</v>
      </c>
      <c r="F43" s="163">
        <f t="shared" si="10"/>
        <v>32028.903821718221</v>
      </c>
      <c r="G43" s="165">
        <f t="shared" si="11"/>
        <v>5946.8892792547549</v>
      </c>
      <c r="H43" s="147">
        <f t="shared" si="12"/>
        <v>5946.8892792547549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32028.903821718221</v>
      </c>
      <c r="E44" s="164">
        <f>IF(+I14&lt;F43,I14,D44)</f>
        <v>1612.2444444444445</v>
      </c>
      <c r="F44" s="163">
        <f t="shared" si="10"/>
        <v>30416.659377273776</v>
      </c>
      <c r="G44" s="165">
        <f t="shared" si="11"/>
        <v>5728.6955161318365</v>
      </c>
      <c r="H44" s="147">
        <f t="shared" si="12"/>
        <v>5728.6955161318365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30416.659377273776</v>
      </c>
      <c r="E45" s="164">
        <f>IF(+I14&lt;F44,I14,D45)</f>
        <v>1612.2444444444445</v>
      </c>
      <c r="F45" s="163">
        <f t="shared" si="10"/>
        <v>28804.414932829332</v>
      </c>
      <c r="G45" s="165">
        <f t="shared" si="11"/>
        <v>5510.5017530089171</v>
      </c>
      <c r="H45" s="147">
        <f t="shared" si="12"/>
        <v>5510.5017530089171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28804.414932829332</v>
      </c>
      <c r="E46" s="164">
        <f>IF(+I14&lt;F45,I14,D46)</f>
        <v>1612.2444444444445</v>
      </c>
      <c r="F46" s="163">
        <f t="shared" si="10"/>
        <v>27192.170488384887</v>
      </c>
      <c r="G46" s="165">
        <f t="shared" si="11"/>
        <v>5292.3079898859996</v>
      </c>
      <c r="H46" s="147">
        <f t="shared" si="12"/>
        <v>5292.3079898859996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27192.170488384887</v>
      </c>
      <c r="E47" s="164">
        <f>IF(+I14&lt;F46,I14,D47)</f>
        <v>1612.2444444444445</v>
      </c>
      <c r="F47" s="163">
        <f t="shared" si="10"/>
        <v>25579.926043940442</v>
      </c>
      <c r="G47" s="165">
        <f t="shared" si="11"/>
        <v>5074.1142267630803</v>
      </c>
      <c r="H47" s="147">
        <f t="shared" si="12"/>
        <v>5074.1142267630803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25579.926043940442</v>
      </c>
      <c r="E48" s="164">
        <f>IF(+I14&lt;F47,I14,D48)</f>
        <v>1612.2444444444445</v>
      </c>
      <c r="F48" s="163">
        <f t="shared" si="10"/>
        <v>23967.681599495998</v>
      </c>
      <c r="G48" s="165">
        <f t="shared" si="11"/>
        <v>4855.9204636401619</v>
      </c>
      <c r="H48" s="147">
        <f t="shared" si="12"/>
        <v>4855.9204636401619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23967.681599495998</v>
      </c>
      <c r="E49" s="164">
        <f>IF(+I14&lt;F48,I14,D49)</f>
        <v>1612.2444444444445</v>
      </c>
      <c r="F49" s="163">
        <f t="shared" ref="F49:F72" si="13">+D49-E49</f>
        <v>22355.437155051553</v>
      </c>
      <c r="G49" s="165">
        <f t="shared" si="11"/>
        <v>4637.7267005172434</v>
      </c>
      <c r="H49" s="147">
        <f t="shared" si="12"/>
        <v>4637.7267005172434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22355.437155051553</v>
      </c>
      <c r="E50" s="164">
        <f>IF(+I14&lt;F49,I14,D50)</f>
        <v>1612.2444444444445</v>
      </c>
      <c r="F50" s="163">
        <f t="shared" si="13"/>
        <v>20743.192710607109</v>
      </c>
      <c r="G50" s="165">
        <f t="shared" si="11"/>
        <v>4419.5329373943241</v>
      </c>
      <c r="H50" s="147">
        <f t="shared" si="12"/>
        <v>4419.5329373943241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20743.192710607109</v>
      </c>
      <c r="E51" s="164">
        <f>IF(+I14&lt;F50,I14,D51)</f>
        <v>1612.2444444444445</v>
      </c>
      <c r="F51" s="163">
        <f t="shared" si="13"/>
        <v>19130.948266162664</v>
      </c>
      <c r="G51" s="165">
        <f t="shared" si="11"/>
        <v>4201.3391742714057</v>
      </c>
      <c r="H51" s="147">
        <f t="shared" si="12"/>
        <v>4201.3391742714057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19130.948266162664</v>
      </c>
      <c r="E52" s="164">
        <f>IF(+I14&lt;F51,I14,D52)</f>
        <v>1612.2444444444445</v>
      </c>
      <c r="F52" s="163">
        <f t="shared" si="13"/>
        <v>17518.70382171822</v>
      </c>
      <c r="G52" s="165">
        <f t="shared" si="11"/>
        <v>3983.1454111484873</v>
      </c>
      <c r="H52" s="147">
        <f t="shared" si="12"/>
        <v>3983.1454111484873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17518.70382171822</v>
      </c>
      <c r="E53" s="164">
        <f>IF(+I14&lt;F52,I14,D53)</f>
        <v>1612.2444444444445</v>
      </c>
      <c r="F53" s="163">
        <f t="shared" si="13"/>
        <v>15906.459377273775</v>
      </c>
      <c r="G53" s="165">
        <f t="shared" si="11"/>
        <v>3764.9516480255684</v>
      </c>
      <c r="H53" s="147">
        <f t="shared" si="12"/>
        <v>3764.9516480255684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15906.459377273775</v>
      </c>
      <c r="E54" s="164">
        <f>IF(+I14&lt;F53,I14,D54)</f>
        <v>1612.2444444444445</v>
      </c>
      <c r="F54" s="163">
        <f t="shared" si="13"/>
        <v>14294.214932829331</v>
      </c>
      <c r="G54" s="165">
        <f t="shared" si="11"/>
        <v>3546.7578849026495</v>
      </c>
      <c r="H54" s="147">
        <f t="shared" si="12"/>
        <v>3546.7578849026495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14294.214932829331</v>
      </c>
      <c r="E55" s="164">
        <f>IF(+I14&lt;F54,I14,D55)</f>
        <v>1612.2444444444445</v>
      </c>
      <c r="F55" s="163">
        <f t="shared" si="13"/>
        <v>12681.970488384886</v>
      </c>
      <c r="G55" s="165">
        <f t="shared" si="11"/>
        <v>3328.5641217797311</v>
      </c>
      <c r="H55" s="147">
        <f t="shared" si="12"/>
        <v>3328.5641217797311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12681.970488384886</v>
      </c>
      <c r="E56" s="164">
        <f>IF(+I14&lt;F55,I14,D56)</f>
        <v>1612.2444444444445</v>
      </c>
      <c r="F56" s="163">
        <f t="shared" si="13"/>
        <v>11069.726043940442</v>
      </c>
      <c r="G56" s="165">
        <f t="shared" si="11"/>
        <v>3110.3703586568126</v>
      </c>
      <c r="H56" s="147">
        <f t="shared" si="12"/>
        <v>3110.3703586568126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11069.726043940442</v>
      </c>
      <c r="E57" s="164">
        <f>IF(+I14&lt;F56,I14,D57)</f>
        <v>1612.2444444444445</v>
      </c>
      <c r="F57" s="163">
        <f t="shared" si="13"/>
        <v>9457.4815994959972</v>
      </c>
      <c r="G57" s="165">
        <f t="shared" si="11"/>
        <v>2892.1765955338933</v>
      </c>
      <c r="H57" s="147">
        <f t="shared" si="12"/>
        <v>2892.1765955338933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9457.4815994959972</v>
      </c>
      <c r="E58" s="164">
        <f>IF(+I14&lt;F57,I14,D58)</f>
        <v>1612.2444444444445</v>
      </c>
      <c r="F58" s="163">
        <f t="shared" si="13"/>
        <v>7845.2371550515527</v>
      </c>
      <c r="G58" s="165">
        <f t="shared" si="11"/>
        <v>2673.9828324109749</v>
      </c>
      <c r="H58" s="147">
        <f t="shared" si="12"/>
        <v>2673.9828324109749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7845.2371550515527</v>
      </c>
      <c r="E59" s="164">
        <f>IF(+I14&lt;F58,I14,D59)</f>
        <v>1612.2444444444445</v>
      </c>
      <c r="F59" s="163">
        <f t="shared" si="13"/>
        <v>6232.9927106071082</v>
      </c>
      <c r="G59" s="165">
        <f t="shared" si="11"/>
        <v>2455.7890692880565</v>
      </c>
      <c r="H59" s="147">
        <f t="shared" si="12"/>
        <v>2455.7890692880565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6232.9927106071082</v>
      </c>
      <c r="E60" s="164">
        <f>IF(+I14&lt;F59,I14,D60)</f>
        <v>1612.2444444444445</v>
      </c>
      <c r="F60" s="163">
        <f t="shared" si="13"/>
        <v>4620.7482661626636</v>
      </c>
      <c r="G60" s="165">
        <f t="shared" si="11"/>
        <v>2237.5953061651376</v>
      </c>
      <c r="H60" s="147">
        <f t="shared" si="12"/>
        <v>2237.5953061651376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4"/>
        <v>IU</v>
      </c>
      <c r="C61" s="157">
        <f>IF(D11="","-",+C60+1)</f>
        <v>2051</v>
      </c>
      <c r="D61" s="163">
        <f>IF(F60+SUM(E$17:E60)=D$10,F60,D$10-SUM(E$17:E60))</f>
        <v>4620.7482661627146</v>
      </c>
      <c r="E61" s="164">
        <f>IF(+I14&lt;F60,I14,D61)</f>
        <v>1612.2444444444445</v>
      </c>
      <c r="F61" s="163">
        <f t="shared" si="13"/>
        <v>3008.50382171827</v>
      </c>
      <c r="G61" s="167">
        <f t="shared" si="11"/>
        <v>2019.4015430422257</v>
      </c>
      <c r="H61" s="147">
        <f t="shared" si="12"/>
        <v>2019.4015430422257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3008.50382171827</v>
      </c>
      <c r="E62" s="164">
        <f>IF(+I14&lt;F61,I14,D62)</f>
        <v>1612.2444444444445</v>
      </c>
      <c r="F62" s="163">
        <f t="shared" si="13"/>
        <v>1396.2593772738255</v>
      </c>
      <c r="G62" s="167">
        <f t="shared" si="11"/>
        <v>1801.2077799193071</v>
      </c>
      <c r="H62" s="147">
        <f t="shared" si="12"/>
        <v>1801.2077799193071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1396.2593772738255</v>
      </c>
      <c r="E63" s="164">
        <f>IF(+I14&lt;F62,I14,D63)</f>
        <v>1396.2593772738255</v>
      </c>
      <c r="F63" s="163">
        <f t="shared" si="13"/>
        <v>0</v>
      </c>
      <c r="G63" s="167">
        <f t="shared" si="11"/>
        <v>1396.2593772738255</v>
      </c>
      <c r="H63" s="147">
        <f t="shared" si="12"/>
        <v>1396.2593772738255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7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1"/>
        <v>0</v>
      </c>
      <c r="H72" s="130">
        <f t="shared" si="12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72551</v>
      </c>
      <c r="F73" s="115"/>
      <c r="G73" s="115">
        <f>SUM(G17:G72)</f>
        <v>309856.61005632521</v>
      </c>
      <c r="H73" s="115">
        <f>SUM(H17:H72)</f>
        <v>309856.61005632521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9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9219.7957260985368</v>
      </c>
      <c r="N87" s="202">
        <f>IF(J92&lt;D11,0,VLOOKUP(J92,C17:O72,11))</f>
        <v>9219.7957260985368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7593.3191046629281</v>
      </c>
      <c r="N88" s="204">
        <f>IF(J92&lt;D11,0,VLOOKUP(J92,C99:P154,7))</f>
        <v>7593.3191046629281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Tulsa Southeast Upgrade (repl switches)*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-1626.4766214356086</v>
      </c>
      <c r="N89" s="207">
        <f>+N88-N87</f>
        <v>-1626.4766214356086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TP2004033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72551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2007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4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1687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2007</v>
      </c>
      <c r="D99" s="361">
        <v>0</v>
      </c>
      <c r="E99" s="363">
        <v>0</v>
      </c>
      <c r="F99" s="366">
        <v>72551</v>
      </c>
      <c r="G99" s="368">
        <v>36276</v>
      </c>
      <c r="H99" s="369">
        <v>5762</v>
      </c>
      <c r="I99" s="370">
        <v>5762</v>
      </c>
      <c r="J99" s="162">
        <f t="shared" ref="J99:J130" si="18">+I99-H99</f>
        <v>0</v>
      </c>
      <c r="K99" s="162"/>
      <c r="L99" s="332">
        <v>0</v>
      </c>
      <c r="M99" s="161">
        <f t="shared" ref="M99:M130" si="19">IF(L99&lt;&gt;0,+H99-L99,0)</f>
        <v>0</v>
      </c>
      <c r="N99" s="332">
        <v>0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1">
        <v>72551</v>
      </c>
      <c r="E100" s="367">
        <v>1369</v>
      </c>
      <c r="F100" s="366">
        <v>71182</v>
      </c>
      <c r="G100" s="366">
        <v>71867</v>
      </c>
      <c r="H100" s="363">
        <v>12785</v>
      </c>
      <c r="I100" s="365">
        <v>12785</v>
      </c>
      <c r="J100" s="162">
        <f t="shared" si="18"/>
        <v>0</v>
      </c>
      <c r="K100" s="162"/>
      <c r="L100" s="333">
        <v>12785</v>
      </c>
      <c r="M100" s="162">
        <f t="shared" si="19"/>
        <v>0</v>
      </c>
      <c r="N100" s="333">
        <v>12785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2">IF(D101=F100,"","IU")</f>
        <v/>
      </c>
      <c r="C101" s="157">
        <f>IF(D93="","-",+C100+1)</f>
        <v>2009</v>
      </c>
      <c r="D101" s="361">
        <v>71182</v>
      </c>
      <c r="E101" s="363">
        <v>1296</v>
      </c>
      <c r="F101" s="366">
        <v>69886</v>
      </c>
      <c r="G101" s="366">
        <v>70534</v>
      </c>
      <c r="H101" s="363">
        <v>11608.65494705257</v>
      </c>
      <c r="I101" s="365">
        <v>11608.65494705257</v>
      </c>
      <c r="J101" s="162">
        <f t="shared" si="18"/>
        <v>0</v>
      </c>
      <c r="K101" s="162"/>
      <c r="L101" s="375">
        <f t="shared" ref="L101:L106" si="23">H101</f>
        <v>11608.65494705257</v>
      </c>
      <c r="M101" s="376">
        <f t="shared" si="19"/>
        <v>0</v>
      </c>
      <c r="N101" s="375">
        <f t="shared" ref="N101:N106" si="24">I101</f>
        <v>11608.65494705257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2"/>
        <v/>
      </c>
      <c r="C102" s="157">
        <f>IF(D93="","-",+C101+1)</f>
        <v>2010</v>
      </c>
      <c r="D102" s="361">
        <v>69886</v>
      </c>
      <c r="E102" s="363">
        <v>1423</v>
      </c>
      <c r="F102" s="366">
        <v>68463</v>
      </c>
      <c r="G102" s="366">
        <v>69174.5</v>
      </c>
      <c r="H102" s="363">
        <v>12547.312556925655</v>
      </c>
      <c r="I102" s="365">
        <v>12547.312556925655</v>
      </c>
      <c r="J102" s="162">
        <f t="shared" si="18"/>
        <v>0</v>
      </c>
      <c r="K102" s="162"/>
      <c r="L102" s="375">
        <f t="shared" si="23"/>
        <v>12547.312556925655</v>
      </c>
      <c r="M102" s="376">
        <f t="shared" si="19"/>
        <v>0</v>
      </c>
      <c r="N102" s="375">
        <f t="shared" si="24"/>
        <v>12547.312556925655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2011</v>
      </c>
      <c r="D103" s="361">
        <v>68463</v>
      </c>
      <c r="E103" s="363">
        <v>1395</v>
      </c>
      <c r="F103" s="366">
        <v>67068</v>
      </c>
      <c r="G103" s="366">
        <v>67765.5</v>
      </c>
      <c r="H103" s="363">
        <v>10869.52752826227</v>
      </c>
      <c r="I103" s="365">
        <v>10869.52752826227</v>
      </c>
      <c r="J103" s="162">
        <f t="shared" si="18"/>
        <v>0</v>
      </c>
      <c r="K103" s="162"/>
      <c r="L103" s="375">
        <f t="shared" si="23"/>
        <v>10869.52752826227</v>
      </c>
      <c r="M103" s="376">
        <f t="shared" si="19"/>
        <v>0</v>
      </c>
      <c r="N103" s="375">
        <f t="shared" si="24"/>
        <v>10869.52752826227</v>
      </c>
      <c r="O103" s="162">
        <f t="shared" si="20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2012</v>
      </c>
      <c r="D104" s="361">
        <v>67068</v>
      </c>
      <c r="E104" s="363">
        <v>1395</v>
      </c>
      <c r="F104" s="366">
        <v>65673</v>
      </c>
      <c r="G104" s="366">
        <v>66370.5</v>
      </c>
      <c r="H104" s="363">
        <v>10942.760254640152</v>
      </c>
      <c r="I104" s="365">
        <v>10942.760254640152</v>
      </c>
      <c r="J104" s="162">
        <v>0</v>
      </c>
      <c r="K104" s="162"/>
      <c r="L104" s="375">
        <f t="shared" si="23"/>
        <v>10942.760254640152</v>
      </c>
      <c r="M104" s="376">
        <f t="shared" ref="M104:M109" si="25">IF(L104&lt;&gt;0,+H104-L104,0)</f>
        <v>0</v>
      </c>
      <c r="N104" s="375">
        <f t="shared" si="24"/>
        <v>10942.760254640152</v>
      </c>
      <c r="O104" s="162">
        <f t="shared" ref="O104:O109" si="26">IF(N104&lt;&gt;0,+I104-N104,0)</f>
        <v>0</v>
      </c>
      <c r="P104" s="162">
        <f t="shared" ref="P104:P109" si="27">+O104-M104</f>
        <v>0</v>
      </c>
    </row>
    <row r="105" spans="1:16">
      <c r="B105" s="9" t="str">
        <f t="shared" si="22"/>
        <v/>
      </c>
      <c r="C105" s="157">
        <f>IF(D93="","-",+C104+1)</f>
        <v>2013</v>
      </c>
      <c r="D105" s="361">
        <v>65673</v>
      </c>
      <c r="E105" s="363">
        <v>1395</v>
      </c>
      <c r="F105" s="366">
        <v>64278</v>
      </c>
      <c r="G105" s="366">
        <v>64975.5</v>
      </c>
      <c r="H105" s="363">
        <v>10747.547086020993</v>
      </c>
      <c r="I105" s="365">
        <v>10747.547086020993</v>
      </c>
      <c r="J105" s="162">
        <v>0</v>
      </c>
      <c r="K105" s="162"/>
      <c r="L105" s="375">
        <f t="shared" si="23"/>
        <v>10747.547086020993</v>
      </c>
      <c r="M105" s="376">
        <f t="shared" si="25"/>
        <v>0</v>
      </c>
      <c r="N105" s="375">
        <f t="shared" si="24"/>
        <v>10747.547086020993</v>
      </c>
      <c r="O105" s="162">
        <f t="shared" si="26"/>
        <v>0</v>
      </c>
      <c r="P105" s="162">
        <f t="shared" si="27"/>
        <v>0</v>
      </c>
    </row>
    <row r="106" spans="1:16">
      <c r="B106" s="9" t="str">
        <f t="shared" si="22"/>
        <v/>
      </c>
      <c r="C106" s="157">
        <f>IF(D93="","-",+C105+1)</f>
        <v>2014</v>
      </c>
      <c r="D106" s="361">
        <v>64278</v>
      </c>
      <c r="E106" s="363">
        <v>1395</v>
      </c>
      <c r="F106" s="366">
        <v>62883</v>
      </c>
      <c r="G106" s="366">
        <v>63580.5</v>
      </c>
      <c r="H106" s="363">
        <v>10334.158398344916</v>
      </c>
      <c r="I106" s="365">
        <v>10334.158398344916</v>
      </c>
      <c r="J106" s="162">
        <v>0</v>
      </c>
      <c r="K106" s="162"/>
      <c r="L106" s="375">
        <f t="shared" si="23"/>
        <v>10334.158398344916</v>
      </c>
      <c r="M106" s="376">
        <f t="shared" si="25"/>
        <v>0</v>
      </c>
      <c r="N106" s="375">
        <f t="shared" si="24"/>
        <v>10334.158398344916</v>
      </c>
      <c r="O106" s="162">
        <f t="shared" si="26"/>
        <v>0</v>
      </c>
      <c r="P106" s="162">
        <f t="shared" si="27"/>
        <v>0</v>
      </c>
    </row>
    <row r="107" spans="1:16">
      <c r="B107" s="9" t="str">
        <f t="shared" si="22"/>
        <v/>
      </c>
      <c r="C107" s="157">
        <f>IF(D93="","-",+C106+1)</f>
        <v>2015</v>
      </c>
      <c r="D107" s="361">
        <v>62883</v>
      </c>
      <c r="E107" s="363">
        <v>1395</v>
      </c>
      <c r="F107" s="366">
        <v>61488</v>
      </c>
      <c r="G107" s="366">
        <v>62185.5</v>
      </c>
      <c r="H107" s="363">
        <v>9879.7114789405332</v>
      </c>
      <c r="I107" s="365">
        <v>9879.7114789405332</v>
      </c>
      <c r="J107" s="162">
        <f t="shared" si="18"/>
        <v>0</v>
      </c>
      <c r="K107" s="162"/>
      <c r="L107" s="375">
        <f>H107</f>
        <v>9879.7114789405332</v>
      </c>
      <c r="M107" s="376">
        <f t="shared" si="25"/>
        <v>0</v>
      </c>
      <c r="N107" s="375">
        <f>I107</f>
        <v>9879.7114789405332</v>
      </c>
      <c r="O107" s="162">
        <f t="shared" si="26"/>
        <v>0</v>
      </c>
      <c r="P107" s="162">
        <f t="shared" si="27"/>
        <v>0</v>
      </c>
    </row>
    <row r="108" spans="1:16">
      <c r="B108" s="9" t="str">
        <f t="shared" si="22"/>
        <v/>
      </c>
      <c r="C108" s="157">
        <f>IF(D93="","-",+C107+1)</f>
        <v>2016</v>
      </c>
      <c r="D108" s="361">
        <v>61488</v>
      </c>
      <c r="E108" s="363">
        <v>1577</v>
      </c>
      <c r="F108" s="366">
        <v>59911</v>
      </c>
      <c r="G108" s="366">
        <v>60699.5</v>
      </c>
      <c r="H108" s="363">
        <v>9402.1214987986186</v>
      </c>
      <c r="I108" s="365">
        <v>9402.1214987986186</v>
      </c>
      <c r="J108" s="162">
        <f t="shared" si="18"/>
        <v>0</v>
      </c>
      <c r="K108" s="162"/>
      <c r="L108" s="375">
        <f>H108</f>
        <v>9402.1214987986186</v>
      </c>
      <c r="M108" s="376">
        <f t="shared" si="25"/>
        <v>0</v>
      </c>
      <c r="N108" s="375">
        <f>I108</f>
        <v>9402.1214987986186</v>
      </c>
      <c r="O108" s="162">
        <f t="shared" si="26"/>
        <v>0</v>
      </c>
      <c r="P108" s="162">
        <f t="shared" si="27"/>
        <v>0</v>
      </c>
    </row>
    <row r="109" spans="1:16">
      <c r="B109" s="9" t="str">
        <f t="shared" si="22"/>
        <v/>
      </c>
      <c r="C109" s="157">
        <f>IF(D93="","-",+C108+1)</f>
        <v>2017</v>
      </c>
      <c r="D109" s="361">
        <v>59911</v>
      </c>
      <c r="E109" s="363">
        <v>1577</v>
      </c>
      <c r="F109" s="366">
        <v>58334</v>
      </c>
      <c r="G109" s="366">
        <v>59122.5</v>
      </c>
      <c r="H109" s="363">
        <v>9076.8382024367129</v>
      </c>
      <c r="I109" s="365">
        <v>9076.8382024367129</v>
      </c>
      <c r="J109" s="162">
        <f t="shared" si="18"/>
        <v>0</v>
      </c>
      <c r="K109" s="162"/>
      <c r="L109" s="375">
        <f>H109</f>
        <v>9076.8382024367129</v>
      </c>
      <c r="M109" s="376">
        <f t="shared" si="25"/>
        <v>0</v>
      </c>
      <c r="N109" s="375">
        <f>I109</f>
        <v>9076.8382024367129</v>
      </c>
      <c r="O109" s="162">
        <f t="shared" si="26"/>
        <v>0</v>
      </c>
      <c r="P109" s="162">
        <f t="shared" si="27"/>
        <v>0</v>
      </c>
    </row>
    <row r="110" spans="1:16">
      <c r="B110" s="9" t="str">
        <f t="shared" si="22"/>
        <v/>
      </c>
      <c r="C110" s="157">
        <f>IF(D93="","-",+C109+1)</f>
        <v>2018</v>
      </c>
      <c r="D110" s="158">
        <f>IF(F109+SUM(E$99:E109)=D$92,F109,D$92-SUM(E$99:E109))</f>
        <v>58334</v>
      </c>
      <c r="E110" s="165">
        <f>IF(+J96&lt;F109,J96,D110)</f>
        <v>1687</v>
      </c>
      <c r="F110" s="163">
        <f t="shared" ref="F110:F154" si="28">+D110-E110</f>
        <v>56647</v>
      </c>
      <c r="G110" s="163">
        <f t="shared" ref="G110:G154" si="29">+(F110+D110)/2</f>
        <v>57490.5</v>
      </c>
      <c r="H110" s="167">
        <f t="shared" ref="H110:H154" si="30">+J$94*G110+E110</f>
        <v>7593.3191046629281</v>
      </c>
      <c r="I110" s="312">
        <f t="shared" ref="I110:I154" si="31">+J$95*G110+E110</f>
        <v>7593.3191046629281</v>
      </c>
      <c r="J110" s="162">
        <f t="shared" si="18"/>
        <v>0</v>
      </c>
      <c r="K110" s="162"/>
      <c r="L110" s="330"/>
      <c r="M110" s="162">
        <f t="shared" si="19"/>
        <v>0</v>
      </c>
      <c r="N110" s="330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2"/>
        <v/>
      </c>
      <c r="C111" s="157">
        <f>IF(D93="","-",+C110+1)</f>
        <v>2019</v>
      </c>
      <c r="D111" s="158">
        <f>IF(F110+SUM(E$99:E110)=D$92,F110,D$92-SUM(E$99:E110))</f>
        <v>56647</v>
      </c>
      <c r="E111" s="165">
        <f>IF(+J96&lt;F110,J96,D111)</f>
        <v>1687</v>
      </c>
      <c r="F111" s="163">
        <f t="shared" si="28"/>
        <v>54960</v>
      </c>
      <c r="G111" s="163">
        <f t="shared" si="29"/>
        <v>55803.5</v>
      </c>
      <c r="H111" s="167">
        <f t="shared" si="30"/>
        <v>7420.0042034259177</v>
      </c>
      <c r="I111" s="312">
        <f t="shared" si="31"/>
        <v>7420.0042034259177</v>
      </c>
      <c r="J111" s="162">
        <f t="shared" si="18"/>
        <v>0</v>
      </c>
      <c r="K111" s="162"/>
      <c r="L111" s="330"/>
      <c r="M111" s="162">
        <f t="shared" si="19"/>
        <v>0</v>
      </c>
      <c r="N111" s="330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2020</v>
      </c>
      <c r="D112" s="158">
        <f>IF(F111+SUM(E$99:E111)=D$92,F111,D$92-SUM(E$99:E111))</f>
        <v>54960</v>
      </c>
      <c r="E112" s="165">
        <f>IF(+J96&lt;F111,J96,D112)</f>
        <v>1687</v>
      </c>
      <c r="F112" s="163">
        <f t="shared" si="28"/>
        <v>53273</v>
      </c>
      <c r="G112" s="163">
        <f t="shared" si="29"/>
        <v>54116.5</v>
      </c>
      <c r="H112" s="167">
        <f t="shared" si="30"/>
        <v>7246.6893021889064</v>
      </c>
      <c r="I112" s="312">
        <f t="shared" si="31"/>
        <v>7246.6893021889064</v>
      </c>
      <c r="J112" s="162">
        <f t="shared" si="18"/>
        <v>0</v>
      </c>
      <c r="K112" s="162"/>
      <c r="L112" s="330"/>
      <c r="M112" s="162">
        <f t="shared" si="19"/>
        <v>0</v>
      </c>
      <c r="N112" s="330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2021</v>
      </c>
      <c r="D113" s="158">
        <f>IF(F112+SUM(E$99:E112)=D$92,F112,D$92-SUM(E$99:E112))</f>
        <v>53273</v>
      </c>
      <c r="E113" s="165">
        <f>IF(+J96&lt;F112,J96,D113)</f>
        <v>1687</v>
      </c>
      <c r="F113" s="163">
        <f t="shared" si="28"/>
        <v>51586</v>
      </c>
      <c r="G113" s="163">
        <f t="shared" si="29"/>
        <v>52429.5</v>
      </c>
      <c r="H113" s="167">
        <f t="shared" si="30"/>
        <v>7073.374400951896</v>
      </c>
      <c r="I113" s="312">
        <f t="shared" si="31"/>
        <v>7073.374400951896</v>
      </c>
      <c r="J113" s="162">
        <f t="shared" si="18"/>
        <v>0</v>
      </c>
      <c r="K113" s="162"/>
      <c r="L113" s="330"/>
      <c r="M113" s="162">
        <f t="shared" si="19"/>
        <v>0</v>
      </c>
      <c r="N113" s="330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2022</v>
      </c>
      <c r="D114" s="158">
        <f>IF(F113+SUM(E$99:E113)=D$92,F113,D$92-SUM(E$99:E113))</f>
        <v>51586</v>
      </c>
      <c r="E114" s="165">
        <f>IF(+J96&lt;F113,J96,D114)</f>
        <v>1687</v>
      </c>
      <c r="F114" s="163">
        <f t="shared" si="28"/>
        <v>49899</v>
      </c>
      <c r="G114" s="163">
        <f t="shared" si="29"/>
        <v>50742.5</v>
      </c>
      <c r="H114" s="167">
        <f t="shared" si="30"/>
        <v>6900.0594997148855</v>
      </c>
      <c r="I114" s="312">
        <f t="shared" si="31"/>
        <v>6900.0594997148855</v>
      </c>
      <c r="J114" s="162">
        <f t="shared" si="18"/>
        <v>0</v>
      </c>
      <c r="K114" s="162"/>
      <c r="L114" s="330"/>
      <c r="M114" s="162">
        <f t="shared" si="19"/>
        <v>0</v>
      </c>
      <c r="N114" s="330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2023</v>
      </c>
      <c r="D115" s="158">
        <f>IF(F114+SUM(E$99:E114)=D$92,F114,D$92-SUM(E$99:E114))</f>
        <v>49899</v>
      </c>
      <c r="E115" s="165">
        <f>IF(+J96&lt;F114,J96,D115)</f>
        <v>1687</v>
      </c>
      <c r="F115" s="163">
        <f t="shared" si="28"/>
        <v>48212</v>
      </c>
      <c r="G115" s="163">
        <f t="shared" si="29"/>
        <v>49055.5</v>
      </c>
      <c r="H115" s="167">
        <f t="shared" si="30"/>
        <v>6726.7445984778751</v>
      </c>
      <c r="I115" s="312">
        <f t="shared" si="31"/>
        <v>6726.7445984778751</v>
      </c>
      <c r="J115" s="162">
        <f t="shared" si="18"/>
        <v>0</v>
      </c>
      <c r="K115" s="162"/>
      <c r="L115" s="330"/>
      <c r="M115" s="162">
        <f t="shared" si="19"/>
        <v>0</v>
      </c>
      <c r="N115" s="330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2024</v>
      </c>
      <c r="D116" s="158">
        <f>IF(F115+SUM(E$99:E115)=D$92,F115,D$92-SUM(E$99:E115))</f>
        <v>48212</v>
      </c>
      <c r="E116" s="165">
        <f>IF(+J96&lt;F115,J96,D116)</f>
        <v>1687</v>
      </c>
      <c r="F116" s="163">
        <f t="shared" si="28"/>
        <v>46525</v>
      </c>
      <c r="G116" s="163">
        <f t="shared" si="29"/>
        <v>47368.5</v>
      </c>
      <c r="H116" s="167">
        <f t="shared" si="30"/>
        <v>6553.4296972408647</v>
      </c>
      <c r="I116" s="312">
        <f t="shared" si="31"/>
        <v>6553.4296972408647</v>
      </c>
      <c r="J116" s="162">
        <f t="shared" si="18"/>
        <v>0</v>
      </c>
      <c r="K116" s="162"/>
      <c r="L116" s="330"/>
      <c r="M116" s="162">
        <f t="shared" si="19"/>
        <v>0</v>
      </c>
      <c r="N116" s="330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2025</v>
      </c>
      <c r="D117" s="158">
        <f>IF(F116+SUM(E$99:E116)=D$92,F116,D$92-SUM(E$99:E116))</f>
        <v>46525</v>
      </c>
      <c r="E117" s="165">
        <f>IF(+J96&lt;F116,J96,D117)</f>
        <v>1687</v>
      </c>
      <c r="F117" s="163">
        <f t="shared" si="28"/>
        <v>44838</v>
      </c>
      <c r="G117" s="163">
        <f t="shared" si="29"/>
        <v>45681.5</v>
      </c>
      <c r="H117" s="167">
        <f t="shared" si="30"/>
        <v>6380.1147960038534</v>
      </c>
      <c r="I117" s="312">
        <f t="shared" si="31"/>
        <v>6380.1147960038534</v>
      </c>
      <c r="J117" s="162">
        <f t="shared" si="18"/>
        <v>0</v>
      </c>
      <c r="K117" s="162"/>
      <c r="L117" s="330"/>
      <c r="M117" s="162">
        <f t="shared" si="19"/>
        <v>0</v>
      </c>
      <c r="N117" s="330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2026</v>
      </c>
      <c r="D118" s="158">
        <f>IF(F117+SUM(E$99:E117)=D$92,F117,D$92-SUM(E$99:E117))</f>
        <v>44838</v>
      </c>
      <c r="E118" s="165">
        <f>IF(+J96&lt;F117,J96,D118)</f>
        <v>1687</v>
      </c>
      <c r="F118" s="163">
        <f t="shared" si="28"/>
        <v>43151</v>
      </c>
      <c r="G118" s="163">
        <f t="shared" si="29"/>
        <v>43994.5</v>
      </c>
      <c r="H118" s="167">
        <f t="shared" si="30"/>
        <v>6206.799894766843</v>
      </c>
      <c r="I118" s="312">
        <f t="shared" si="31"/>
        <v>6206.799894766843</v>
      </c>
      <c r="J118" s="162">
        <f t="shared" si="18"/>
        <v>0</v>
      </c>
      <c r="K118" s="162"/>
      <c r="L118" s="330"/>
      <c r="M118" s="162">
        <f t="shared" si="19"/>
        <v>0</v>
      </c>
      <c r="N118" s="330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2027</v>
      </c>
      <c r="D119" s="158">
        <f>IF(F118+SUM(E$99:E118)=D$92,F118,D$92-SUM(E$99:E118))</f>
        <v>43151</v>
      </c>
      <c r="E119" s="165">
        <f>IF(+J96&lt;F118,J96,D119)</f>
        <v>1687</v>
      </c>
      <c r="F119" s="163">
        <f t="shared" si="28"/>
        <v>41464</v>
      </c>
      <c r="G119" s="163">
        <f t="shared" si="29"/>
        <v>42307.5</v>
      </c>
      <c r="H119" s="167">
        <f t="shared" si="30"/>
        <v>6033.4849935298325</v>
      </c>
      <c r="I119" s="312">
        <f t="shared" si="31"/>
        <v>6033.4849935298325</v>
      </c>
      <c r="J119" s="162">
        <f t="shared" si="18"/>
        <v>0</v>
      </c>
      <c r="K119" s="162"/>
      <c r="L119" s="330"/>
      <c r="M119" s="162">
        <f t="shared" si="19"/>
        <v>0</v>
      </c>
      <c r="N119" s="330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2028</v>
      </c>
      <c r="D120" s="158">
        <f>IF(F119+SUM(E$99:E119)=D$92,F119,D$92-SUM(E$99:E119))</f>
        <v>41464</v>
      </c>
      <c r="E120" s="165">
        <f>IF(+J96&lt;F119,J96,D120)</f>
        <v>1687</v>
      </c>
      <c r="F120" s="163">
        <f t="shared" si="28"/>
        <v>39777</v>
      </c>
      <c r="G120" s="163">
        <f t="shared" si="29"/>
        <v>40620.5</v>
      </c>
      <c r="H120" s="167">
        <f t="shared" si="30"/>
        <v>5860.1700922928221</v>
      </c>
      <c r="I120" s="312">
        <f t="shared" si="31"/>
        <v>5860.1700922928221</v>
      </c>
      <c r="J120" s="162">
        <f t="shared" si="18"/>
        <v>0</v>
      </c>
      <c r="K120" s="162"/>
      <c r="L120" s="330"/>
      <c r="M120" s="162">
        <f t="shared" si="19"/>
        <v>0</v>
      </c>
      <c r="N120" s="330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2029</v>
      </c>
      <c r="D121" s="158">
        <f>IF(F120+SUM(E$99:E120)=D$92,F120,D$92-SUM(E$99:E120))</f>
        <v>39777</v>
      </c>
      <c r="E121" s="165">
        <f>IF(+J96&lt;F120,J96,D121)</f>
        <v>1687</v>
      </c>
      <c r="F121" s="163">
        <f t="shared" si="28"/>
        <v>38090</v>
      </c>
      <c r="G121" s="163">
        <f t="shared" si="29"/>
        <v>38933.5</v>
      </c>
      <c r="H121" s="167">
        <f t="shared" si="30"/>
        <v>5686.8551910558108</v>
      </c>
      <c r="I121" s="312">
        <f t="shared" si="31"/>
        <v>5686.8551910558108</v>
      </c>
      <c r="J121" s="162">
        <f t="shared" si="18"/>
        <v>0</v>
      </c>
      <c r="K121" s="162"/>
      <c r="L121" s="330"/>
      <c r="M121" s="162">
        <f t="shared" si="19"/>
        <v>0</v>
      </c>
      <c r="N121" s="330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2030</v>
      </c>
      <c r="D122" s="158">
        <f>IF(F121+SUM(E$99:E121)=D$92,F121,D$92-SUM(E$99:E121))</f>
        <v>38090</v>
      </c>
      <c r="E122" s="165">
        <f>IF(+J96&lt;F121,J96,D122)</f>
        <v>1687</v>
      </c>
      <c r="F122" s="163">
        <f t="shared" si="28"/>
        <v>36403</v>
      </c>
      <c r="G122" s="163">
        <f t="shared" si="29"/>
        <v>37246.5</v>
      </c>
      <c r="H122" s="167">
        <f t="shared" si="30"/>
        <v>5513.5402898188004</v>
      </c>
      <c r="I122" s="312">
        <f t="shared" si="31"/>
        <v>5513.5402898188004</v>
      </c>
      <c r="J122" s="162">
        <f t="shared" si="18"/>
        <v>0</v>
      </c>
      <c r="K122" s="162"/>
      <c r="L122" s="330"/>
      <c r="M122" s="162">
        <f t="shared" si="19"/>
        <v>0</v>
      </c>
      <c r="N122" s="330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2031</v>
      </c>
      <c r="D123" s="158">
        <f>IF(F122+SUM(E$99:E122)=D$92,F122,D$92-SUM(E$99:E122))</f>
        <v>36403</v>
      </c>
      <c r="E123" s="165">
        <f>IF(+J96&lt;F122,J96,D123)</f>
        <v>1687</v>
      </c>
      <c r="F123" s="163">
        <f t="shared" si="28"/>
        <v>34716</v>
      </c>
      <c r="G123" s="163">
        <f t="shared" si="29"/>
        <v>35559.5</v>
      </c>
      <c r="H123" s="167">
        <f t="shared" si="30"/>
        <v>5340.22538858179</v>
      </c>
      <c r="I123" s="312">
        <f t="shared" si="31"/>
        <v>5340.22538858179</v>
      </c>
      <c r="J123" s="162">
        <f t="shared" si="18"/>
        <v>0</v>
      </c>
      <c r="K123" s="162"/>
      <c r="L123" s="330"/>
      <c r="M123" s="162">
        <f t="shared" si="19"/>
        <v>0</v>
      </c>
      <c r="N123" s="330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2032</v>
      </c>
      <c r="D124" s="158">
        <f>IF(F123+SUM(E$99:E123)=D$92,F123,D$92-SUM(E$99:E123))</f>
        <v>34716</v>
      </c>
      <c r="E124" s="165">
        <f>IF(+J96&lt;F123,J96,D124)</f>
        <v>1687</v>
      </c>
      <c r="F124" s="163">
        <f t="shared" si="28"/>
        <v>33029</v>
      </c>
      <c r="G124" s="163">
        <f t="shared" si="29"/>
        <v>33872.5</v>
      </c>
      <c r="H124" s="167">
        <f t="shared" si="30"/>
        <v>5166.9104873447795</v>
      </c>
      <c r="I124" s="312">
        <f t="shared" si="31"/>
        <v>5166.9104873447795</v>
      </c>
      <c r="J124" s="162">
        <f t="shared" si="18"/>
        <v>0</v>
      </c>
      <c r="K124" s="162"/>
      <c r="L124" s="330"/>
      <c r="M124" s="162">
        <f t="shared" si="19"/>
        <v>0</v>
      </c>
      <c r="N124" s="330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2033</v>
      </c>
      <c r="D125" s="158">
        <f>IF(F124+SUM(E$99:E124)=D$92,F124,D$92-SUM(E$99:E124))</f>
        <v>33029</v>
      </c>
      <c r="E125" s="165">
        <f>IF(+J96&lt;F124,J96,D125)</f>
        <v>1687</v>
      </c>
      <c r="F125" s="163">
        <f t="shared" si="28"/>
        <v>31342</v>
      </c>
      <c r="G125" s="163">
        <f t="shared" si="29"/>
        <v>32185.5</v>
      </c>
      <c r="H125" s="167">
        <f t="shared" si="30"/>
        <v>4993.5955861077691</v>
      </c>
      <c r="I125" s="312">
        <f t="shared" si="31"/>
        <v>4993.5955861077691</v>
      </c>
      <c r="J125" s="162">
        <f t="shared" si="18"/>
        <v>0</v>
      </c>
      <c r="K125" s="162"/>
      <c r="L125" s="330"/>
      <c r="M125" s="162">
        <f t="shared" si="19"/>
        <v>0</v>
      </c>
      <c r="N125" s="330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2034</v>
      </c>
      <c r="D126" s="158">
        <f>IF(F125+SUM(E$99:E125)=D$92,F125,D$92-SUM(E$99:E125))</f>
        <v>31342</v>
      </c>
      <c r="E126" s="165">
        <f>IF(+J96&lt;F125,J96,D126)</f>
        <v>1687</v>
      </c>
      <c r="F126" s="163">
        <f t="shared" si="28"/>
        <v>29655</v>
      </c>
      <c r="G126" s="163">
        <f t="shared" si="29"/>
        <v>30498.5</v>
      </c>
      <c r="H126" s="167">
        <f t="shared" si="30"/>
        <v>4820.2806848707578</v>
      </c>
      <c r="I126" s="312">
        <f t="shared" si="31"/>
        <v>4820.2806848707578</v>
      </c>
      <c r="J126" s="162">
        <f t="shared" si="18"/>
        <v>0</v>
      </c>
      <c r="K126" s="162"/>
      <c r="L126" s="330"/>
      <c r="M126" s="162">
        <f t="shared" si="19"/>
        <v>0</v>
      </c>
      <c r="N126" s="330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2035</v>
      </c>
      <c r="D127" s="158">
        <f>IF(F126+SUM(E$99:E126)=D$92,F126,D$92-SUM(E$99:E126))</f>
        <v>29655</v>
      </c>
      <c r="E127" s="165">
        <f>IF(+J96&lt;F126,J96,D127)</f>
        <v>1687</v>
      </c>
      <c r="F127" s="163">
        <f t="shared" si="28"/>
        <v>27968</v>
      </c>
      <c r="G127" s="163">
        <f t="shared" si="29"/>
        <v>28811.5</v>
      </c>
      <c r="H127" s="167">
        <f t="shared" si="30"/>
        <v>4646.9657836337474</v>
      </c>
      <c r="I127" s="312">
        <f t="shared" si="31"/>
        <v>4646.9657836337474</v>
      </c>
      <c r="J127" s="162">
        <f t="shared" si="18"/>
        <v>0</v>
      </c>
      <c r="K127" s="162"/>
      <c r="L127" s="330"/>
      <c r="M127" s="162">
        <f t="shared" si="19"/>
        <v>0</v>
      </c>
      <c r="N127" s="330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2036</v>
      </c>
      <c r="D128" s="158">
        <f>IF(F127+SUM(E$99:E127)=D$92,F127,D$92-SUM(E$99:E127))</f>
        <v>27968</v>
      </c>
      <c r="E128" s="165">
        <f>IF(+J96&lt;F127,J96,D128)</f>
        <v>1687</v>
      </c>
      <c r="F128" s="163">
        <f t="shared" si="28"/>
        <v>26281</v>
      </c>
      <c r="G128" s="163">
        <f t="shared" si="29"/>
        <v>27124.5</v>
      </c>
      <c r="H128" s="167">
        <f t="shared" si="30"/>
        <v>4473.6508823967361</v>
      </c>
      <c r="I128" s="312">
        <f t="shared" si="31"/>
        <v>4473.6508823967361</v>
      </c>
      <c r="J128" s="162">
        <f t="shared" si="18"/>
        <v>0</v>
      </c>
      <c r="K128" s="162"/>
      <c r="L128" s="330"/>
      <c r="M128" s="162">
        <f t="shared" si="19"/>
        <v>0</v>
      </c>
      <c r="N128" s="330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2037</v>
      </c>
      <c r="D129" s="158">
        <f>IF(F128+SUM(E$99:E128)=D$92,F128,D$92-SUM(E$99:E128))</f>
        <v>26281</v>
      </c>
      <c r="E129" s="165">
        <f>IF(+J96&lt;F128,J96,D129)</f>
        <v>1687</v>
      </c>
      <c r="F129" s="163">
        <f t="shared" si="28"/>
        <v>24594</v>
      </c>
      <c r="G129" s="163">
        <f t="shared" si="29"/>
        <v>25437.5</v>
      </c>
      <c r="H129" s="167">
        <f t="shared" si="30"/>
        <v>4300.3359811597256</v>
      </c>
      <c r="I129" s="312">
        <f t="shared" si="31"/>
        <v>4300.3359811597256</v>
      </c>
      <c r="J129" s="162">
        <f t="shared" si="18"/>
        <v>0</v>
      </c>
      <c r="K129" s="162"/>
      <c r="L129" s="330"/>
      <c r="M129" s="162">
        <f t="shared" si="19"/>
        <v>0</v>
      </c>
      <c r="N129" s="330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2038</v>
      </c>
      <c r="D130" s="158">
        <f>IF(F129+SUM(E$99:E129)=D$92,F129,D$92-SUM(E$99:E129))</f>
        <v>24594</v>
      </c>
      <c r="E130" s="165">
        <f>IF(+J96&lt;F129,J96,D130)</f>
        <v>1687</v>
      </c>
      <c r="F130" s="163">
        <f t="shared" si="28"/>
        <v>22907</v>
      </c>
      <c r="G130" s="163">
        <f t="shared" si="29"/>
        <v>23750.5</v>
      </c>
      <c r="H130" s="167">
        <f t="shared" si="30"/>
        <v>4127.0210799227152</v>
      </c>
      <c r="I130" s="312">
        <f t="shared" si="31"/>
        <v>4127.0210799227152</v>
      </c>
      <c r="J130" s="162">
        <f t="shared" si="18"/>
        <v>0</v>
      </c>
      <c r="K130" s="162"/>
      <c r="L130" s="330"/>
      <c r="M130" s="162">
        <f t="shared" si="19"/>
        <v>0</v>
      </c>
      <c r="N130" s="330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2039</v>
      </c>
      <c r="D131" s="158">
        <f>IF(F130+SUM(E$99:E130)=D$92,F130,D$92-SUM(E$99:E130))</f>
        <v>22907</v>
      </c>
      <c r="E131" s="165">
        <f>IF(+J96&lt;F130,J96,D131)</f>
        <v>1687</v>
      </c>
      <c r="F131" s="163">
        <f t="shared" si="28"/>
        <v>21220</v>
      </c>
      <c r="G131" s="163">
        <f t="shared" si="29"/>
        <v>22063.5</v>
      </c>
      <c r="H131" s="167">
        <f t="shared" si="30"/>
        <v>3953.7061786857048</v>
      </c>
      <c r="I131" s="312">
        <f t="shared" si="31"/>
        <v>3953.7061786857048</v>
      </c>
      <c r="J131" s="162">
        <f t="shared" ref="J131:J154" si="32">+I541-H541</f>
        <v>0</v>
      </c>
      <c r="K131" s="162"/>
      <c r="L131" s="330"/>
      <c r="M131" s="162">
        <f t="shared" ref="M131:M154" si="33">IF(L541&lt;&gt;0,+H541-L541,0)</f>
        <v>0</v>
      </c>
      <c r="N131" s="330"/>
      <c r="O131" s="162">
        <f t="shared" ref="O131:O154" si="34">IF(N541&lt;&gt;0,+I541-N541,0)</f>
        <v>0</v>
      </c>
      <c r="P131" s="162">
        <f t="shared" ref="P131:P154" si="35">+O541-M541</f>
        <v>0</v>
      </c>
    </row>
    <row r="132" spans="2:16">
      <c r="B132" s="9" t="str">
        <f t="shared" si="22"/>
        <v/>
      </c>
      <c r="C132" s="157">
        <f>IF(D93="","-",+C131+1)</f>
        <v>2040</v>
      </c>
      <c r="D132" s="158">
        <f>IF(F131+SUM(E$99:E131)=D$92,F131,D$92-SUM(E$99:E131))</f>
        <v>21220</v>
      </c>
      <c r="E132" s="165">
        <f>IF(+J96&lt;F131,J96,D132)</f>
        <v>1687</v>
      </c>
      <c r="F132" s="163">
        <f t="shared" si="28"/>
        <v>19533</v>
      </c>
      <c r="G132" s="163">
        <f t="shared" si="29"/>
        <v>20376.5</v>
      </c>
      <c r="H132" s="167">
        <f t="shared" si="30"/>
        <v>3780.3912774486944</v>
      </c>
      <c r="I132" s="312">
        <f t="shared" si="31"/>
        <v>3780.3912774486944</v>
      </c>
      <c r="J132" s="162">
        <f t="shared" si="32"/>
        <v>0</v>
      </c>
      <c r="K132" s="162"/>
      <c r="L132" s="330"/>
      <c r="M132" s="162">
        <f t="shared" si="33"/>
        <v>0</v>
      </c>
      <c r="N132" s="330"/>
      <c r="O132" s="162">
        <f t="shared" si="34"/>
        <v>0</v>
      </c>
      <c r="P132" s="162">
        <f t="shared" si="35"/>
        <v>0</v>
      </c>
    </row>
    <row r="133" spans="2:16">
      <c r="B133" s="9" t="str">
        <f t="shared" si="22"/>
        <v/>
      </c>
      <c r="C133" s="157">
        <f>IF(D93="","-",+C132+1)</f>
        <v>2041</v>
      </c>
      <c r="D133" s="158">
        <f>IF(F132+SUM(E$99:E132)=D$92,F132,D$92-SUM(E$99:E132))</f>
        <v>19533</v>
      </c>
      <c r="E133" s="165">
        <f>IF(+J96&lt;F132,J96,D133)</f>
        <v>1687</v>
      </c>
      <c r="F133" s="163">
        <f t="shared" si="28"/>
        <v>17846</v>
      </c>
      <c r="G133" s="163">
        <f t="shared" si="29"/>
        <v>18689.5</v>
      </c>
      <c r="H133" s="167">
        <f t="shared" si="30"/>
        <v>3607.0763762116835</v>
      </c>
      <c r="I133" s="312">
        <f t="shared" si="31"/>
        <v>3607.0763762116835</v>
      </c>
      <c r="J133" s="162">
        <f t="shared" si="32"/>
        <v>0</v>
      </c>
      <c r="K133" s="162"/>
      <c r="L133" s="330"/>
      <c r="M133" s="162">
        <f t="shared" si="33"/>
        <v>0</v>
      </c>
      <c r="N133" s="330"/>
      <c r="O133" s="162">
        <f t="shared" si="34"/>
        <v>0</v>
      </c>
      <c r="P133" s="162">
        <f t="shared" si="35"/>
        <v>0</v>
      </c>
    </row>
    <row r="134" spans="2:16">
      <c r="B134" s="9" t="str">
        <f t="shared" si="22"/>
        <v/>
      </c>
      <c r="C134" s="157">
        <f>IF(D93="","-",+C133+1)</f>
        <v>2042</v>
      </c>
      <c r="D134" s="158">
        <f>IF(F133+SUM(E$99:E133)=D$92,F133,D$92-SUM(E$99:E133))</f>
        <v>17846</v>
      </c>
      <c r="E134" s="165">
        <f>IF(+J96&lt;F133,J96,D134)</f>
        <v>1687</v>
      </c>
      <c r="F134" s="163">
        <f t="shared" si="28"/>
        <v>16159</v>
      </c>
      <c r="G134" s="163">
        <f t="shared" si="29"/>
        <v>17002.5</v>
      </c>
      <c r="H134" s="167">
        <f t="shared" si="30"/>
        <v>3433.7614749746726</v>
      </c>
      <c r="I134" s="312">
        <f t="shared" si="31"/>
        <v>3433.7614749746726</v>
      </c>
      <c r="J134" s="162">
        <f t="shared" si="32"/>
        <v>0</v>
      </c>
      <c r="K134" s="162"/>
      <c r="L134" s="330"/>
      <c r="M134" s="162">
        <f t="shared" si="33"/>
        <v>0</v>
      </c>
      <c r="N134" s="330"/>
      <c r="O134" s="162">
        <f t="shared" si="34"/>
        <v>0</v>
      </c>
      <c r="P134" s="162">
        <f t="shared" si="35"/>
        <v>0</v>
      </c>
    </row>
    <row r="135" spans="2:16">
      <c r="B135" s="9" t="str">
        <f t="shared" si="22"/>
        <v/>
      </c>
      <c r="C135" s="157">
        <f>IF(D93="","-",+C134+1)</f>
        <v>2043</v>
      </c>
      <c r="D135" s="158">
        <f>IF(F134+SUM(E$99:E134)=D$92,F134,D$92-SUM(E$99:E134))</f>
        <v>16159</v>
      </c>
      <c r="E135" s="165">
        <f>IF(+J96&lt;F134,J96,D135)</f>
        <v>1687</v>
      </c>
      <c r="F135" s="163">
        <f t="shared" si="28"/>
        <v>14472</v>
      </c>
      <c r="G135" s="163">
        <f t="shared" si="29"/>
        <v>15315.5</v>
      </c>
      <c r="H135" s="167">
        <f t="shared" si="30"/>
        <v>3260.4465737376622</v>
      </c>
      <c r="I135" s="312">
        <f t="shared" si="31"/>
        <v>3260.4465737376622</v>
      </c>
      <c r="J135" s="162">
        <f t="shared" si="32"/>
        <v>0</v>
      </c>
      <c r="K135" s="162"/>
      <c r="L135" s="330"/>
      <c r="M135" s="162">
        <f t="shared" si="33"/>
        <v>0</v>
      </c>
      <c r="N135" s="330"/>
      <c r="O135" s="162">
        <f t="shared" si="34"/>
        <v>0</v>
      </c>
      <c r="P135" s="162">
        <f t="shared" si="35"/>
        <v>0</v>
      </c>
    </row>
    <row r="136" spans="2:16">
      <c r="B136" s="9" t="str">
        <f t="shared" si="22"/>
        <v/>
      </c>
      <c r="C136" s="157">
        <f>IF(D93="","-",+C135+1)</f>
        <v>2044</v>
      </c>
      <c r="D136" s="158">
        <f>IF(F135+SUM(E$99:E135)=D$92,F135,D$92-SUM(E$99:E135))</f>
        <v>14472</v>
      </c>
      <c r="E136" s="165">
        <f>IF(+J96&lt;F135,J96,D136)</f>
        <v>1687</v>
      </c>
      <c r="F136" s="163">
        <f t="shared" si="28"/>
        <v>12785</v>
      </c>
      <c r="G136" s="163">
        <f t="shared" si="29"/>
        <v>13628.5</v>
      </c>
      <c r="H136" s="167">
        <f t="shared" si="30"/>
        <v>3087.1316725006518</v>
      </c>
      <c r="I136" s="312">
        <f t="shared" si="31"/>
        <v>3087.1316725006518</v>
      </c>
      <c r="J136" s="162">
        <f t="shared" si="32"/>
        <v>0</v>
      </c>
      <c r="K136" s="162"/>
      <c r="L136" s="330"/>
      <c r="M136" s="162">
        <f t="shared" si="33"/>
        <v>0</v>
      </c>
      <c r="N136" s="330"/>
      <c r="O136" s="162">
        <f t="shared" si="34"/>
        <v>0</v>
      </c>
      <c r="P136" s="162">
        <f t="shared" si="35"/>
        <v>0</v>
      </c>
    </row>
    <row r="137" spans="2:16">
      <c r="B137" s="9" t="str">
        <f t="shared" si="22"/>
        <v/>
      </c>
      <c r="C137" s="157">
        <f>IF(D93="","-",+C136+1)</f>
        <v>2045</v>
      </c>
      <c r="D137" s="158">
        <f>IF(F136+SUM(E$99:E136)=D$92,F136,D$92-SUM(E$99:E136))</f>
        <v>12785</v>
      </c>
      <c r="E137" s="165">
        <f>IF(+J96&lt;F136,J96,D137)</f>
        <v>1687</v>
      </c>
      <c r="F137" s="163">
        <f t="shared" si="28"/>
        <v>11098</v>
      </c>
      <c r="G137" s="163">
        <f t="shared" si="29"/>
        <v>11941.5</v>
      </c>
      <c r="H137" s="167">
        <f t="shared" si="30"/>
        <v>2913.8167712636414</v>
      </c>
      <c r="I137" s="312">
        <f t="shared" si="31"/>
        <v>2913.8167712636414</v>
      </c>
      <c r="J137" s="162">
        <f t="shared" si="32"/>
        <v>0</v>
      </c>
      <c r="K137" s="162"/>
      <c r="L137" s="330"/>
      <c r="M137" s="162">
        <f t="shared" si="33"/>
        <v>0</v>
      </c>
      <c r="N137" s="330"/>
      <c r="O137" s="162">
        <f t="shared" si="34"/>
        <v>0</v>
      </c>
      <c r="P137" s="162">
        <f t="shared" si="35"/>
        <v>0</v>
      </c>
    </row>
    <row r="138" spans="2:16">
      <c r="B138" s="9" t="str">
        <f t="shared" si="22"/>
        <v/>
      </c>
      <c r="C138" s="157">
        <f>IF(D93="","-",+C137+1)</f>
        <v>2046</v>
      </c>
      <c r="D138" s="158">
        <f>IF(F137+SUM(E$99:E137)=D$92,F137,D$92-SUM(E$99:E137))</f>
        <v>11098</v>
      </c>
      <c r="E138" s="165">
        <f>IF(+J96&lt;F137,J96,D138)</f>
        <v>1687</v>
      </c>
      <c r="F138" s="163">
        <f t="shared" si="28"/>
        <v>9411</v>
      </c>
      <c r="G138" s="163">
        <f t="shared" si="29"/>
        <v>10254.5</v>
      </c>
      <c r="H138" s="167">
        <f t="shared" si="30"/>
        <v>2740.5018700266305</v>
      </c>
      <c r="I138" s="312">
        <f t="shared" si="31"/>
        <v>2740.5018700266305</v>
      </c>
      <c r="J138" s="162">
        <f t="shared" si="32"/>
        <v>0</v>
      </c>
      <c r="K138" s="162"/>
      <c r="L138" s="330"/>
      <c r="M138" s="162">
        <f t="shared" si="33"/>
        <v>0</v>
      </c>
      <c r="N138" s="330"/>
      <c r="O138" s="162">
        <f t="shared" si="34"/>
        <v>0</v>
      </c>
      <c r="P138" s="162">
        <f t="shared" si="35"/>
        <v>0</v>
      </c>
    </row>
    <row r="139" spans="2:16">
      <c r="B139" s="9" t="str">
        <f t="shared" si="22"/>
        <v/>
      </c>
      <c r="C139" s="157">
        <f>IF(D93="","-",+C138+1)</f>
        <v>2047</v>
      </c>
      <c r="D139" s="158">
        <f>IF(F138+SUM(E$99:E138)=D$92,F138,D$92-SUM(E$99:E138))</f>
        <v>9411</v>
      </c>
      <c r="E139" s="165">
        <f>IF(+J96&lt;F138,J96,D139)</f>
        <v>1687</v>
      </c>
      <c r="F139" s="163">
        <f t="shared" si="28"/>
        <v>7724</v>
      </c>
      <c r="G139" s="163">
        <f t="shared" si="29"/>
        <v>8567.5</v>
      </c>
      <c r="H139" s="167">
        <f t="shared" si="30"/>
        <v>2567.1869687896196</v>
      </c>
      <c r="I139" s="312">
        <f t="shared" si="31"/>
        <v>2567.1869687896196</v>
      </c>
      <c r="J139" s="162">
        <f t="shared" si="32"/>
        <v>0</v>
      </c>
      <c r="K139" s="162"/>
      <c r="L139" s="330"/>
      <c r="M139" s="162">
        <f t="shared" si="33"/>
        <v>0</v>
      </c>
      <c r="N139" s="330"/>
      <c r="O139" s="162">
        <f t="shared" si="34"/>
        <v>0</v>
      </c>
      <c r="P139" s="162">
        <f t="shared" si="35"/>
        <v>0</v>
      </c>
    </row>
    <row r="140" spans="2:16">
      <c r="B140" s="9" t="str">
        <f t="shared" si="22"/>
        <v/>
      </c>
      <c r="C140" s="157">
        <f>IF(D93="","-",+C139+1)</f>
        <v>2048</v>
      </c>
      <c r="D140" s="158">
        <f>IF(F139+SUM(E$99:E139)=D$92,F139,D$92-SUM(E$99:E139))</f>
        <v>7724</v>
      </c>
      <c r="E140" s="165">
        <f>IF(+J96&lt;F139,J96,D140)</f>
        <v>1687</v>
      </c>
      <c r="F140" s="163">
        <f t="shared" si="28"/>
        <v>6037</v>
      </c>
      <c r="G140" s="163">
        <f t="shared" si="29"/>
        <v>6880.5</v>
      </c>
      <c r="H140" s="167">
        <f t="shared" si="30"/>
        <v>2393.8720675526092</v>
      </c>
      <c r="I140" s="312">
        <f t="shared" si="31"/>
        <v>2393.8720675526092</v>
      </c>
      <c r="J140" s="162">
        <f t="shared" si="32"/>
        <v>0</v>
      </c>
      <c r="K140" s="162"/>
      <c r="L140" s="330"/>
      <c r="M140" s="162">
        <f t="shared" si="33"/>
        <v>0</v>
      </c>
      <c r="N140" s="330"/>
      <c r="O140" s="162">
        <f t="shared" si="34"/>
        <v>0</v>
      </c>
      <c r="P140" s="162">
        <f t="shared" si="35"/>
        <v>0</v>
      </c>
    </row>
    <row r="141" spans="2:16">
      <c r="B141" s="9" t="str">
        <f t="shared" si="22"/>
        <v/>
      </c>
      <c r="C141" s="157">
        <f>IF(D93="","-",+C140+1)</f>
        <v>2049</v>
      </c>
      <c r="D141" s="158">
        <f>IF(F140+SUM(E$99:E140)=D$92,F140,D$92-SUM(E$99:E140))</f>
        <v>6037</v>
      </c>
      <c r="E141" s="165">
        <f>IF(+J96&lt;F140,J96,D141)</f>
        <v>1687</v>
      </c>
      <c r="F141" s="163">
        <f t="shared" si="28"/>
        <v>4350</v>
      </c>
      <c r="G141" s="163">
        <f t="shared" si="29"/>
        <v>5193.5</v>
      </c>
      <c r="H141" s="167">
        <f t="shared" si="30"/>
        <v>2220.5571663155988</v>
      </c>
      <c r="I141" s="312">
        <f t="shared" si="31"/>
        <v>2220.5571663155988</v>
      </c>
      <c r="J141" s="162">
        <f t="shared" si="32"/>
        <v>0</v>
      </c>
      <c r="K141" s="162"/>
      <c r="L141" s="330"/>
      <c r="M141" s="162">
        <f t="shared" si="33"/>
        <v>0</v>
      </c>
      <c r="N141" s="330"/>
      <c r="O141" s="162">
        <f t="shared" si="34"/>
        <v>0</v>
      </c>
      <c r="P141" s="162">
        <f t="shared" si="35"/>
        <v>0</v>
      </c>
    </row>
    <row r="142" spans="2:16">
      <c r="B142" s="9" t="str">
        <f t="shared" si="22"/>
        <v/>
      </c>
      <c r="C142" s="157">
        <f>IF(D93="","-",+C141+1)</f>
        <v>2050</v>
      </c>
      <c r="D142" s="158">
        <f>IF(F141+SUM(E$99:E141)=D$92,F141,D$92-SUM(E$99:E141))</f>
        <v>4350</v>
      </c>
      <c r="E142" s="165">
        <f>IF(+J96&lt;F141,J96,D142)</f>
        <v>1687</v>
      </c>
      <c r="F142" s="163">
        <f t="shared" si="28"/>
        <v>2663</v>
      </c>
      <c r="G142" s="163">
        <f t="shared" si="29"/>
        <v>3506.5</v>
      </c>
      <c r="H142" s="167">
        <f t="shared" si="30"/>
        <v>2047.2422650785879</v>
      </c>
      <c r="I142" s="312">
        <f t="shared" si="31"/>
        <v>2047.2422650785879</v>
      </c>
      <c r="J142" s="162">
        <f t="shared" si="32"/>
        <v>0</v>
      </c>
      <c r="K142" s="162"/>
      <c r="L142" s="330"/>
      <c r="M142" s="162">
        <f t="shared" si="33"/>
        <v>0</v>
      </c>
      <c r="N142" s="330"/>
      <c r="O142" s="162">
        <f t="shared" si="34"/>
        <v>0</v>
      </c>
      <c r="P142" s="162">
        <f t="shared" si="35"/>
        <v>0</v>
      </c>
    </row>
    <row r="143" spans="2:16">
      <c r="B143" s="9" t="str">
        <f t="shared" si="22"/>
        <v/>
      </c>
      <c r="C143" s="157">
        <f>IF(D93="","-",+C142+1)</f>
        <v>2051</v>
      </c>
      <c r="D143" s="158">
        <f>IF(F142+SUM(E$99:E142)=D$92,F142,D$92-SUM(E$99:E142))</f>
        <v>2663</v>
      </c>
      <c r="E143" s="165">
        <f>IF(+J96&lt;F142,J96,D143)</f>
        <v>1687</v>
      </c>
      <c r="F143" s="163">
        <f t="shared" si="28"/>
        <v>976</v>
      </c>
      <c r="G143" s="163">
        <f t="shared" si="29"/>
        <v>1819.5</v>
      </c>
      <c r="H143" s="167">
        <f t="shared" si="30"/>
        <v>1873.9273638415773</v>
      </c>
      <c r="I143" s="312">
        <f t="shared" si="31"/>
        <v>1873.9273638415773</v>
      </c>
      <c r="J143" s="162">
        <f t="shared" si="32"/>
        <v>0</v>
      </c>
      <c r="K143" s="162"/>
      <c r="L143" s="330"/>
      <c r="M143" s="162">
        <f t="shared" si="33"/>
        <v>0</v>
      </c>
      <c r="N143" s="330"/>
      <c r="O143" s="162">
        <f t="shared" si="34"/>
        <v>0</v>
      </c>
      <c r="P143" s="162">
        <f t="shared" si="35"/>
        <v>0</v>
      </c>
    </row>
    <row r="144" spans="2:16">
      <c r="B144" s="9" t="str">
        <f t="shared" si="22"/>
        <v/>
      </c>
      <c r="C144" s="157">
        <f>IF(D93="","-",+C143+1)</f>
        <v>2052</v>
      </c>
      <c r="D144" s="158">
        <f>IF(F143+SUM(E$99:E143)=D$92,F143,D$92-SUM(E$99:E143))</f>
        <v>976</v>
      </c>
      <c r="E144" s="165">
        <f>IF(+J96&lt;F143,J96,D144)</f>
        <v>976</v>
      </c>
      <c r="F144" s="163">
        <f t="shared" si="28"/>
        <v>0</v>
      </c>
      <c r="G144" s="163">
        <f t="shared" si="29"/>
        <v>488</v>
      </c>
      <c r="H144" s="167">
        <f t="shared" si="30"/>
        <v>1026.1349566115359</v>
      </c>
      <c r="I144" s="312">
        <f t="shared" si="31"/>
        <v>1026.1349566115359</v>
      </c>
      <c r="J144" s="162">
        <f t="shared" si="32"/>
        <v>0</v>
      </c>
      <c r="K144" s="162"/>
      <c r="L144" s="330"/>
      <c r="M144" s="162">
        <f t="shared" si="33"/>
        <v>0</v>
      </c>
      <c r="N144" s="330"/>
      <c r="O144" s="162">
        <f t="shared" si="34"/>
        <v>0</v>
      </c>
      <c r="P144" s="162">
        <f t="shared" si="35"/>
        <v>0</v>
      </c>
    </row>
    <row r="145" spans="2:16">
      <c r="B145" s="9" t="str">
        <f t="shared" si="22"/>
        <v/>
      </c>
      <c r="C145" s="157">
        <f>IF(D93="","-",+C144+1)</f>
        <v>2053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28"/>
        <v>0</v>
      </c>
      <c r="G145" s="163">
        <f t="shared" si="29"/>
        <v>0</v>
      </c>
      <c r="H145" s="167">
        <f t="shared" si="30"/>
        <v>0</v>
      </c>
      <c r="I145" s="312">
        <f t="shared" si="31"/>
        <v>0</v>
      </c>
      <c r="J145" s="162">
        <f t="shared" si="32"/>
        <v>0</v>
      </c>
      <c r="K145" s="162"/>
      <c r="L145" s="330"/>
      <c r="M145" s="162">
        <f t="shared" si="33"/>
        <v>0</v>
      </c>
      <c r="N145" s="330"/>
      <c r="O145" s="162">
        <f t="shared" si="34"/>
        <v>0</v>
      </c>
      <c r="P145" s="162">
        <f t="shared" si="35"/>
        <v>0</v>
      </c>
    </row>
    <row r="146" spans="2:16">
      <c r="B146" s="9" t="str">
        <f t="shared" si="22"/>
        <v/>
      </c>
      <c r="C146" s="157">
        <f>IF(D93="","-",+C145+1)</f>
        <v>2054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28"/>
        <v>0</v>
      </c>
      <c r="G146" s="163">
        <f t="shared" si="29"/>
        <v>0</v>
      </c>
      <c r="H146" s="167">
        <f t="shared" si="30"/>
        <v>0</v>
      </c>
      <c r="I146" s="312">
        <f t="shared" si="31"/>
        <v>0</v>
      </c>
      <c r="J146" s="162">
        <f t="shared" si="32"/>
        <v>0</v>
      </c>
      <c r="K146" s="162"/>
      <c r="L146" s="330"/>
      <c r="M146" s="162">
        <f t="shared" si="33"/>
        <v>0</v>
      </c>
      <c r="N146" s="330"/>
      <c r="O146" s="162">
        <f t="shared" si="34"/>
        <v>0</v>
      </c>
      <c r="P146" s="162">
        <f t="shared" si="35"/>
        <v>0</v>
      </c>
    </row>
    <row r="147" spans="2:16">
      <c r="B147" s="9" t="str">
        <f t="shared" si="22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28"/>
        <v>0</v>
      </c>
      <c r="G147" s="163">
        <f t="shared" si="29"/>
        <v>0</v>
      </c>
      <c r="H147" s="167">
        <f t="shared" si="30"/>
        <v>0</v>
      </c>
      <c r="I147" s="312">
        <f t="shared" si="31"/>
        <v>0</v>
      </c>
      <c r="J147" s="162">
        <f t="shared" si="32"/>
        <v>0</v>
      </c>
      <c r="K147" s="162"/>
      <c r="L147" s="330"/>
      <c r="M147" s="162">
        <f t="shared" si="33"/>
        <v>0</v>
      </c>
      <c r="N147" s="330"/>
      <c r="O147" s="162">
        <f t="shared" si="34"/>
        <v>0</v>
      </c>
      <c r="P147" s="162">
        <f t="shared" si="35"/>
        <v>0</v>
      </c>
    </row>
    <row r="148" spans="2:16">
      <c r="B148" s="9" t="str">
        <f t="shared" si="22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28"/>
        <v>0</v>
      </c>
      <c r="G148" s="163">
        <f t="shared" si="29"/>
        <v>0</v>
      </c>
      <c r="H148" s="167">
        <f t="shared" si="30"/>
        <v>0</v>
      </c>
      <c r="I148" s="312">
        <f t="shared" si="31"/>
        <v>0</v>
      </c>
      <c r="J148" s="162">
        <f t="shared" si="32"/>
        <v>0</v>
      </c>
      <c r="K148" s="162"/>
      <c r="L148" s="330"/>
      <c r="M148" s="162">
        <f t="shared" si="33"/>
        <v>0</v>
      </c>
      <c r="N148" s="330"/>
      <c r="O148" s="162">
        <f t="shared" si="34"/>
        <v>0</v>
      </c>
      <c r="P148" s="162">
        <f t="shared" si="35"/>
        <v>0</v>
      </c>
    </row>
    <row r="149" spans="2:16">
      <c r="B149" s="9" t="str">
        <f t="shared" si="22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28"/>
        <v>0</v>
      </c>
      <c r="G149" s="163">
        <f t="shared" si="29"/>
        <v>0</v>
      </c>
      <c r="H149" s="167">
        <f t="shared" si="30"/>
        <v>0</v>
      </c>
      <c r="I149" s="312">
        <f t="shared" si="31"/>
        <v>0</v>
      </c>
      <c r="J149" s="162">
        <f t="shared" si="32"/>
        <v>0</v>
      </c>
      <c r="K149" s="162"/>
      <c r="L149" s="330"/>
      <c r="M149" s="162">
        <f t="shared" si="33"/>
        <v>0</v>
      </c>
      <c r="N149" s="330"/>
      <c r="O149" s="162">
        <f t="shared" si="34"/>
        <v>0</v>
      </c>
      <c r="P149" s="162">
        <f t="shared" si="35"/>
        <v>0</v>
      </c>
    </row>
    <row r="150" spans="2:16">
      <c r="B150" s="9" t="str">
        <f t="shared" si="22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28"/>
        <v>0</v>
      </c>
      <c r="G150" s="163">
        <f t="shared" si="29"/>
        <v>0</v>
      </c>
      <c r="H150" s="167">
        <f t="shared" si="30"/>
        <v>0</v>
      </c>
      <c r="I150" s="312">
        <f t="shared" si="31"/>
        <v>0</v>
      </c>
      <c r="J150" s="162">
        <f t="shared" si="32"/>
        <v>0</v>
      </c>
      <c r="K150" s="162"/>
      <c r="L150" s="330"/>
      <c r="M150" s="162">
        <f t="shared" si="33"/>
        <v>0</v>
      </c>
      <c r="N150" s="330"/>
      <c r="O150" s="162">
        <f t="shared" si="34"/>
        <v>0</v>
      </c>
      <c r="P150" s="162">
        <f t="shared" si="35"/>
        <v>0</v>
      </c>
    </row>
    <row r="151" spans="2:16">
      <c r="B151" s="9" t="str">
        <f t="shared" si="22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28"/>
        <v>0</v>
      </c>
      <c r="G151" s="163">
        <f t="shared" si="29"/>
        <v>0</v>
      </c>
      <c r="H151" s="167">
        <f t="shared" si="30"/>
        <v>0</v>
      </c>
      <c r="I151" s="312">
        <f t="shared" si="31"/>
        <v>0</v>
      </c>
      <c r="J151" s="162">
        <f t="shared" si="32"/>
        <v>0</v>
      </c>
      <c r="K151" s="162"/>
      <c r="L151" s="330"/>
      <c r="M151" s="162">
        <f t="shared" si="33"/>
        <v>0</v>
      </c>
      <c r="N151" s="330"/>
      <c r="O151" s="162">
        <f t="shared" si="34"/>
        <v>0</v>
      </c>
      <c r="P151" s="162">
        <f t="shared" si="35"/>
        <v>0</v>
      </c>
    </row>
    <row r="152" spans="2:16">
      <c r="B152" s="9" t="str">
        <f t="shared" si="22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28"/>
        <v>0</v>
      </c>
      <c r="G152" s="163">
        <f t="shared" si="29"/>
        <v>0</v>
      </c>
      <c r="H152" s="167">
        <f t="shared" si="30"/>
        <v>0</v>
      </c>
      <c r="I152" s="312">
        <f t="shared" si="31"/>
        <v>0</v>
      </c>
      <c r="J152" s="162">
        <f t="shared" si="32"/>
        <v>0</v>
      </c>
      <c r="K152" s="162"/>
      <c r="L152" s="330"/>
      <c r="M152" s="162">
        <f t="shared" si="33"/>
        <v>0</v>
      </c>
      <c r="N152" s="330"/>
      <c r="O152" s="162">
        <f t="shared" si="34"/>
        <v>0</v>
      </c>
      <c r="P152" s="162">
        <f t="shared" si="35"/>
        <v>0</v>
      </c>
    </row>
    <row r="153" spans="2:16">
      <c r="B153" s="9" t="str">
        <f t="shared" si="22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28"/>
        <v>0</v>
      </c>
      <c r="G153" s="163">
        <f t="shared" si="29"/>
        <v>0</v>
      </c>
      <c r="H153" s="167">
        <f t="shared" si="30"/>
        <v>0</v>
      </c>
      <c r="I153" s="312">
        <f t="shared" si="31"/>
        <v>0</v>
      </c>
      <c r="J153" s="162">
        <f t="shared" si="32"/>
        <v>0</v>
      </c>
      <c r="K153" s="162"/>
      <c r="L153" s="330"/>
      <c r="M153" s="162">
        <f t="shared" si="33"/>
        <v>0</v>
      </c>
      <c r="N153" s="330"/>
      <c r="O153" s="162">
        <f t="shared" si="34"/>
        <v>0</v>
      </c>
      <c r="P153" s="162">
        <f t="shared" si="35"/>
        <v>0</v>
      </c>
    </row>
    <row r="154" spans="2:16" ht="13.5" thickBot="1">
      <c r="B154" s="9" t="str">
        <f t="shared" si="22"/>
        <v/>
      </c>
      <c r="C154" s="168">
        <f>IF(D93="","-",+C153+1)</f>
        <v>2062</v>
      </c>
      <c r="D154" s="169">
        <f>IF(F153+SUM(E$99:E153)=D$92,F153,D$92-SUM(E$99:E153))</f>
        <v>0</v>
      </c>
      <c r="E154" s="372">
        <f>IF(+J96&lt;F153,J96,D154)</f>
        <v>0</v>
      </c>
      <c r="F154" s="169">
        <f t="shared" si="28"/>
        <v>0</v>
      </c>
      <c r="G154" s="169">
        <f t="shared" si="29"/>
        <v>0</v>
      </c>
      <c r="H154" s="171">
        <f t="shared" si="30"/>
        <v>0</v>
      </c>
      <c r="I154" s="313">
        <f t="shared" si="31"/>
        <v>0</v>
      </c>
      <c r="J154" s="173">
        <f t="shared" si="32"/>
        <v>0</v>
      </c>
      <c r="K154" s="162"/>
      <c r="L154" s="331"/>
      <c r="M154" s="173">
        <f t="shared" si="33"/>
        <v>0</v>
      </c>
      <c r="N154" s="331"/>
      <c r="O154" s="173">
        <f t="shared" si="34"/>
        <v>0</v>
      </c>
      <c r="P154" s="173">
        <f t="shared" si="35"/>
        <v>0</v>
      </c>
    </row>
    <row r="155" spans="2:16">
      <c r="C155" s="158" t="s">
        <v>77</v>
      </c>
      <c r="D155" s="115"/>
      <c r="E155" s="115">
        <f>SUM(E99:E154)</f>
        <v>72551</v>
      </c>
      <c r="F155" s="115"/>
      <c r="G155" s="115"/>
      <c r="H155" s="115">
        <f>SUM(H99:H154)</f>
        <v>275924.95687261055</v>
      </c>
      <c r="I155" s="115">
        <f>SUM(I99:I154)</f>
        <v>275924.95687261055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view="pageBreakPreview" zoomScale="75" zoomScaleNormal="100" workbookViewId="0">
      <selection activeCell="D25" sqref="D25:H2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10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12963.911111111111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12963.911111111111</v>
      </c>
      <c r="O6" s="1"/>
      <c r="P6" s="1"/>
    </row>
    <row r="7" spans="1:16" ht="13.5" thickBot="1">
      <c r="C7" s="127" t="s">
        <v>46</v>
      </c>
      <c r="D7" s="267" t="s">
        <v>258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221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96566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2010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2145.911111111111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2010</v>
      </c>
      <c r="D17" s="361">
        <v>135400</v>
      </c>
      <c r="E17" s="362">
        <v>1209</v>
      </c>
      <c r="F17" s="361">
        <v>134191</v>
      </c>
      <c r="G17" s="362">
        <v>20572</v>
      </c>
      <c r="H17" s="365">
        <v>20572</v>
      </c>
      <c r="I17" s="160">
        <f t="shared" ref="I17:I48" si="0">H17-G17</f>
        <v>0</v>
      </c>
      <c r="J17" s="160"/>
      <c r="K17" s="332">
        <f t="shared" ref="K17:K22" si="1">G17</f>
        <v>20572</v>
      </c>
      <c r="L17" s="161">
        <f t="shared" ref="L17:L48" si="2">IF(K17&lt;&gt;0,+G17-K17,0)</f>
        <v>0</v>
      </c>
      <c r="M17" s="332">
        <f t="shared" ref="M17:M22" si="3">H17</f>
        <v>20572</v>
      </c>
      <c r="N17" s="161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2011</v>
      </c>
      <c r="D18" s="366">
        <v>95357</v>
      </c>
      <c r="E18" s="363">
        <v>1893.4509803921569</v>
      </c>
      <c r="F18" s="366">
        <v>93463.549019607846</v>
      </c>
      <c r="G18" s="363">
        <v>16524.450980392157</v>
      </c>
      <c r="H18" s="365">
        <v>16524.450980392157</v>
      </c>
      <c r="I18" s="160">
        <f t="shared" si="0"/>
        <v>0</v>
      </c>
      <c r="J18" s="160"/>
      <c r="K18" s="333">
        <f t="shared" si="1"/>
        <v>16524.450980392157</v>
      </c>
      <c r="L18" s="269">
        <f t="shared" si="2"/>
        <v>0</v>
      </c>
      <c r="M18" s="333">
        <f t="shared" si="3"/>
        <v>16524.450980392157</v>
      </c>
      <c r="N18" s="162">
        <f t="shared" si="4"/>
        <v>0</v>
      </c>
      <c r="O18" s="162">
        <f t="shared" si="5"/>
        <v>0</v>
      </c>
      <c r="P18" s="4"/>
    </row>
    <row r="19" spans="2:16">
      <c r="B19" s="9" t="str">
        <f>IF(D19=F18,"","IU")</f>
        <v/>
      </c>
      <c r="C19" s="157">
        <f>IF(D11="","-",+C18+1)</f>
        <v>2012</v>
      </c>
      <c r="D19" s="366">
        <v>93463.549019607846</v>
      </c>
      <c r="E19" s="363">
        <v>1857.0384615384614</v>
      </c>
      <c r="F19" s="366">
        <v>91606.510558069378</v>
      </c>
      <c r="G19" s="363">
        <v>14609.038461538461</v>
      </c>
      <c r="H19" s="365">
        <v>14609.038461538461</v>
      </c>
      <c r="I19" s="160">
        <f t="shared" si="0"/>
        <v>0</v>
      </c>
      <c r="J19" s="160"/>
      <c r="K19" s="333">
        <f t="shared" si="1"/>
        <v>14609.038461538461</v>
      </c>
      <c r="L19" s="269">
        <f t="shared" si="2"/>
        <v>0</v>
      </c>
      <c r="M19" s="333">
        <f t="shared" si="3"/>
        <v>14609.038461538461</v>
      </c>
      <c r="N19" s="162">
        <f t="shared" si="4"/>
        <v>0</v>
      </c>
      <c r="O19" s="162">
        <f t="shared" si="5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2013</v>
      </c>
      <c r="D20" s="366">
        <v>91606.510558069378</v>
      </c>
      <c r="E20" s="363">
        <v>1857.0384615384614</v>
      </c>
      <c r="F20" s="366">
        <v>89749.47209653091</v>
      </c>
      <c r="G20" s="363">
        <v>14674.038461538461</v>
      </c>
      <c r="H20" s="365">
        <v>14674.038461538461</v>
      </c>
      <c r="I20" s="160">
        <v>0</v>
      </c>
      <c r="J20" s="160"/>
      <c r="K20" s="333">
        <f t="shared" si="1"/>
        <v>14674.038461538461</v>
      </c>
      <c r="L20" s="269">
        <f t="shared" ref="L20:L25" si="7">IF(K20&lt;&gt;0,+G20-K20,0)</f>
        <v>0</v>
      </c>
      <c r="M20" s="333">
        <f t="shared" si="3"/>
        <v>14674.038461538461</v>
      </c>
      <c r="N20" s="162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66">
        <v>89749.47209653091</v>
      </c>
      <c r="E21" s="363">
        <v>1857.0384615384614</v>
      </c>
      <c r="F21" s="366">
        <v>87892.433634992442</v>
      </c>
      <c r="G21" s="363">
        <v>13956.038461538461</v>
      </c>
      <c r="H21" s="365">
        <v>13956.038461538461</v>
      </c>
      <c r="I21" s="160">
        <v>0</v>
      </c>
      <c r="J21" s="160"/>
      <c r="K21" s="333">
        <f t="shared" si="1"/>
        <v>13956.038461538461</v>
      </c>
      <c r="L21" s="269">
        <f t="shared" si="7"/>
        <v>0</v>
      </c>
      <c r="M21" s="333">
        <f t="shared" si="3"/>
        <v>13956.038461538461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66">
        <v>87892.433634992442</v>
      </c>
      <c r="E22" s="363">
        <v>1857.0384615384614</v>
      </c>
      <c r="F22" s="366">
        <v>86035.395173453973</v>
      </c>
      <c r="G22" s="363">
        <v>13719.038461538461</v>
      </c>
      <c r="H22" s="365">
        <v>13719.038461538461</v>
      </c>
      <c r="I22" s="160">
        <v>0</v>
      </c>
      <c r="J22" s="160"/>
      <c r="K22" s="333">
        <f t="shared" si="1"/>
        <v>13719.038461538461</v>
      </c>
      <c r="L22" s="269">
        <f t="shared" si="7"/>
        <v>0</v>
      </c>
      <c r="M22" s="333">
        <f t="shared" si="3"/>
        <v>13719.038461538461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66">
        <v>86035.395173453973</v>
      </c>
      <c r="E23" s="363">
        <v>1857.0384615384614</v>
      </c>
      <c r="F23" s="366">
        <v>84178.356711915505</v>
      </c>
      <c r="G23" s="363">
        <v>12898.038461538461</v>
      </c>
      <c r="H23" s="365">
        <v>12898.038461538461</v>
      </c>
      <c r="I23" s="160">
        <f t="shared" si="0"/>
        <v>0</v>
      </c>
      <c r="J23" s="160"/>
      <c r="K23" s="333">
        <f>G23</f>
        <v>12898.038461538461</v>
      </c>
      <c r="L23" s="269">
        <f t="shared" si="7"/>
        <v>0</v>
      </c>
      <c r="M23" s="333">
        <f>H23</f>
        <v>12898.038461538461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66">
        <v>84178.356711915505</v>
      </c>
      <c r="E24" s="363">
        <v>2099.2608695652175</v>
      </c>
      <c r="F24" s="366">
        <v>82079.095842350289</v>
      </c>
      <c r="G24" s="363">
        <v>12544.260869565218</v>
      </c>
      <c r="H24" s="365">
        <v>12544.260869565218</v>
      </c>
      <c r="I24" s="160">
        <f t="shared" si="0"/>
        <v>0</v>
      </c>
      <c r="J24" s="160"/>
      <c r="K24" s="333">
        <f>G24</f>
        <v>12544.260869565218</v>
      </c>
      <c r="L24" s="269">
        <f t="shared" si="7"/>
        <v>0</v>
      </c>
      <c r="M24" s="333">
        <f>H24</f>
        <v>12544.260869565218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66">
        <v>82079.095842350289</v>
      </c>
      <c r="E25" s="363">
        <v>2145.911111111111</v>
      </c>
      <c r="F25" s="366">
        <v>79933.184731239176</v>
      </c>
      <c r="G25" s="363">
        <v>12963.911111111111</v>
      </c>
      <c r="H25" s="365">
        <v>12963.911111111111</v>
      </c>
      <c r="I25" s="160">
        <f t="shared" si="0"/>
        <v>0</v>
      </c>
      <c r="J25" s="160"/>
      <c r="K25" s="333">
        <f>G25</f>
        <v>12963.911111111111</v>
      </c>
      <c r="L25" s="269">
        <f t="shared" si="7"/>
        <v>0</v>
      </c>
      <c r="M25" s="333">
        <f>H25</f>
        <v>12963.911111111111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163">
        <f>IF(F25+SUM(E$17:E25)=D$10,F25,D$10-SUM(E$17:E25))</f>
        <v>79933.184731239176</v>
      </c>
      <c r="E26" s="164">
        <f>IF(+I14&lt;F25,I14,D26)</f>
        <v>2145.911111111111</v>
      </c>
      <c r="F26" s="163">
        <f t="shared" ref="F26:F48" si="10">+D26-E26</f>
        <v>77787.273620128064</v>
      </c>
      <c r="G26" s="165">
        <f t="shared" ref="G26:G72" si="11">ROUND(I$12*F26,0)+E26</f>
        <v>12672.911111111111</v>
      </c>
      <c r="H26" s="147">
        <f t="shared" ref="H26:H72" si="12">ROUND(I$13*F26,0)+E26</f>
        <v>12672.911111111111</v>
      </c>
      <c r="I26" s="160">
        <f t="shared" si="0"/>
        <v>0</v>
      </c>
      <c r="J26" s="160"/>
      <c r="K26" s="330"/>
      <c r="L26" s="162">
        <f t="shared" si="2"/>
        <v>0</v>
      </c>
      <c r="M26" s="330"/>
      <c r="N26" s="162">
        <f t="shared" si="4"/>
        <v>0</v>
      </c>
      <c r="O26" s="162">
        <f t="shared" si="5"/>
        <v>0</v>
      </c>
      <c r="P26" s="4"/>
    </row>
    <row r="27" spans="2:16">
      <c r="B27" s="381" t="str">
        <f t="shared" si="6"/>
        <v/>
      </c>
      <c r="C27" s="157">
        <f>IF(D11="","-",+C26+1)</f>
        <v>2020</v>
      </c>
      <c r="D27" s="166">
        <f>IF(F26+SUM(E$17:E26)=D$10,F26,D$10-SUM(E$17:E26))</f>
        <v>77787.273620128064</v>
      </c>
      <c r="E27" s="164">
        <f>IF(+I14&lt;F26,I14,D27)</f>
        <v>2145.911111111111</v>
      </c>
      <c r="F27" s="163">
        <f t="shared" si="10"/>
        <v>75641.362509016952</v>
      </c>
      <c r="G27" s="165">
        <f t="shared" si="11"/>
        <v>12382.911111111111</v>
      </c>
      <c r="H27" s="147">
        <f t="shared" si="12"/>
        <v>12382.911111111111</v>
      </c>
      <c r="I27" s="160">
        <f t="shared" si="0"/>
        <v>0</v>
      </c>
      <c r="J27" s="160"/>
      <c r="K27" s="330"/>
      <c r="L27" s="162">
        <f t="shared" si="2"/>
        <v>0</v>
      </c>
      <c r="M27" s="330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75641.362509016952</v>
      </c>
      <c r="E28" s="164">
        <f>IF(+I14&lt;F27,I14,D28)</f>
        <v>2145.911111111111</v>
      </c>
      <c r="F28" s="163">
        <f t="shared" si="10"/>
        <v>73495.451397905839</v>
      </c>
      <c r="G28" s="165">
        <f t="shared" si="11"/>
        <v>12092.911111111111</v>
      </c>
      <c r="H28" s="147">
        <f t="shared" si="12"/>
        <v>12092.911111111111</v>
      </c>
      <c r="I28" s="160">
        <f t="shared" si="0"/>
        <v>0</v>
      </c>
      <c r="J28" s="160"/>
      <c r="K28" s="330"/>
      <c r="L28" s="162">
        <f t="shared" si="2"/>
        <v>0</v>
      </c>
      <c r="M28" s="330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73495.451397905839</v>
      </c>
      <c r="E29" s="164">
        <f>IF(+I14&lt;F28,I14,D29)</f>
        <v>2145.911111111111</v>
      </c>
      <c r="F29" s="163">
        <f t="shared" si="10"/>
        <v>71349.540286794727</v>
      </c>
      <c r="G29" s="165">
        <f t="shared" si="11"/>
        <v>11801.911111111111</v>
      </c>
      <c r="H29" s="147">
        <f t="shared" si="12"/>
        <v>11801.911111111111</v>
      </c>
      <c r="I29" s="160">
        <f t="shared" si="0"/>
        <v>0</v>
      </c>
      <c r="J29" s="160"/>
      <c r="K29" s="330"/>
      <c r="L29" s="162">
        <f t="shared" si="2"/>
        <v>0</v>
      </c>
      <c r="M29" s="330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71349.540286794727</v>
      </c>
      <c r="E30" s="164">
        <f>IF(+I14&lt;F29,I14,D30)</f>
        <v>2145.911111111111</v>
      </c>
      <c r="F30" s="163">
        <f t="shared" si="10"/>
        <v>69203.629175683614</v>
      </c>
      <c r="G30" s="165">
        <f t="shared" si="11"/>
        <v>11511.911111111111</v>
      </c>
      <c r="H30" s="147">
        <f t="shared" si="12"/>
        <v>11511.911111111111</v>
      </c>
      <c r="I30" s="160">
        <f t="shared" si="0"/>
        <v>0</v>
      </c>
      <c r="J30" s="160"/>
      <c r="K30" s="330"/>
      <c r="L30" s="162">
        <f t="shared" si="2"/>
        <v>0</v>
      </c>
      <c r="M30" s="330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69203.629175683614</v>
      </c>
      <c r="E31" s="164">
        <f>IF(+I14&lt;F30,I14,D31)</f>
        <v>2145.911111111111</v>
      </c>
      <c r="F31" s="163">
        <f t="shared" si="10"/>
        <v>67057.718064572502</v>
      </c>
      <c r="G31" s="165">
        <f t="shared" si="11"/>
        <v>11220.911111111111</v>
      </c>
      <c r="H31" s="147">
        <f t="shared" si="12"/>
        <v>11220.911111111111</v>
      </c>
      <c r="I31" s="160">
        <f t="shared" si="0"/>
        <v>0</v>
      </c>
      <c r="J31" s="160"/>
      <c r="K31" s="330"/>
      <c r="L31" s="162">
        <f t="shared" si="2"/>
        <v>0</v>
      </c>
      <c r="M31" s="330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67057.718064572502</v>
      </c>
      <c r="E32" s="164">
        <f>IF(+I14&lt;F31,I14,D32)</f>
        <v>2145.911111111111</v>
      </c>
      <c r="F32" s="163">
        <f t="shared" si="10"/>
        <v>64911.80695346139</v>
      </c>
      <c r="G32" s="165">
        <f t="shared" si="11"/>
        <v>10930.911111111111</v>
      </c>
      <c r="H32" s="147">
        <f t="shared" si="12"/>
        <v>10930.911111111111</v>
      </c>
      <c r="I32" s="160">
        <f t="shared" si="0"/>
        <v>0</v>
      </c>
      <c r="J32" s="160"/>
      <c r="K32" s="330"/>
      <c r="L32" s="162">
        <f t="shared" si="2"/>
        <v>0</v>
      </c>
      <c r="M32" s="330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64911.80695346139</v>
      </c>
      <c r="E33" s="164">
        <f>IF(+I14&lt;F32,I14,D33)</f>
        <v>2145.911111111111</v>
      </c>
      <c r="F33" s="163">
        <f t="shared" si="10"/>
        <v>62765.895842350277</v>
      </c>
      <c r="G33" s="165">
        <f t="shared" si="11"/>
        <v>10639.911111111111</v>
      </c>
      <c r="H33" s="147">
        <f t="shared" si="12"/>
        <v>10639.911111111111</v>
      </c>
      <c r="I33" s="160">
        <f t="shared" si="0"/>
        <v>0</v>
      </c>
      <c r="J33" s="160"/>
      <c r="K33" s="330"/>
      <c r="L33" s="162">
        <f t="shared" si="2"/>
        <v>0</v>
      </c>
      <c r="M33" s="330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62765.895842350277</v>
      </c>
      <c r="E34" s="164">
        <f>IF(+I14&lt;F33,I14,D34)</f>
        <v>2145.911111111111</v>
      </c>
      <c r="F34" s="163">
        <f t="shared" si="10"/>
        <v>60619.984731239165</v>
      </c>
      <c r="G34" s="165">
        <f t="shared" si="11"/>
        <v>10349.911111111111</v>
      </c>
      <c r="H34" s="147">
        <f t="shared" si="12"/>
        <v>10349.911111111111</v>
      </c>
      <c r="I34" s="160">
        <f t="shared" si="0"/>
        <v>0</v>
      </c>
      <c r="J34" s="160"/>
      <c r="K34" s="330"/>
      <c r="L34" s="162">
        <f t="shared" si="2"/>
        <v>0</v>
      </c>
      <c r="M34" s="330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60619.984731239165</v>
      </c>
      <c r="E35" s="164">
        <f>IF(+I14&lt;F34,I14,D35)</f>
        <v>2145.911111111111</v>
      </c>
      <c r="F35" s="163">
        <f t="shared" si="10"/>
        <v>58474.073620128052</v>
      </c>
      <c r="G35" s="165">
        <f t="shared" si="11"/>
        <v>10059.911111111111</v>
      </c>
      <c r="H35" s="147">
        <f t="shared" si="12"/>
        <v>10059.911111111111</v>
      </c>
      <c r="I35" s="160">
        <f t="shared" si="0"/>
        <v>0</v>
      </c>
      <c r="J35" s="160"/>
      <c r="K35" s="330"/>
      <c r="L35" s="162">
        <f t="shared" si="2"/>
        <v>0</v>
      </c>
      <c r="M35" s="330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58474.073620128052</v>
      </c>
      <c r="E36" s="164">
        <f>IF(+I14&lt;F35,I14,D36)</f>
        <v>2145.911111111111</v>
      </c>
      <c r="F36" s="163">
        <f t="shared" si="10"/>
        <v>56328.16250901694</v>
      </c>
      <c r="G36" s="165">
        <f t="shared" si="11"/>
        <v>9768.9111111111106</v>
      </c>
      <c r="H36" s="147">
        <f t="shared" si="12"/>
        <v>9768.9111111111106</v>
      </c>
      <c r="I36" s="160">
        <f t="shared" si="0"/>
        <v>0</v>
      </c>
      <c r="J36" s="160"/>
      <c r="K36" s="330"/>
      <c r="L36" s="162">
        <f t="shared" si="2"/>
        <v>0</v>
      </c>
      <c r="M36" s="330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56328.16250901694</v>
      </c>
      <c r="E37" s="164">
        <f>IF(+I14&lt;F36,I14,D37)</f>
        <v>2145.911111111111</v>
      </c>
      <c r="F37" s="163">
        <f t="shared" si="10"/>
        <v>54182.251397905828</v>
      </c>
      <c r="G37" s="165">
        <f t="shared" si="11"/>
        <v>9478.9111111111106</v>
      </c>
      <c r="H37" s="147">
        <f t="shared" si="12"/>
        <v>9478.9111111111106</v>
      </c>
      <c r="I37" s="160">
        <f t="shared" si="0"/>
        <v>0</v>
      </c>
      <c r="J37" s="160"/>
      <c r="K37" s="330"/>
      <c r="L37" s="162">
        <f t="shared" si="2"/>
        <v>0</v>
      </c>
      <c r="M37" s="330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54182.251397905828</v>
      </c>
      <c r="E38" s="164">
        <f>IF(+I14&lt;F37,I14,D38)</f>
        <v>2145.911111111111</v>
      </c>
      <c r="F38" s="163">
        <f t="shared" si="10"/>
        <v>52036.340286794715</v>
      </c>
      <c r="G38" s="165">
        <f t="shared" si="11"/>
        <v>9187.9111111111106</v>
      </c>
      <c r="H38" s="147">
        <f t="shared" si="12"/>
        <v>9187.9111111111106</v>
      </c>
      <c r="I38" s="160">
        <f t="shared" si="0"/>
        <v>0</v>
      </c>
      <c r="J38" s="160"/>
      <c r="K38" s="330"/>
      <c r="L38" s="162">
        <f t="shared" si="2"/>
        <v>0</v>
      </c>
      <c r="M38" s="330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52036.340286794715</v>
      </c>
      <c r="E39" s="164">
        <f>IF(+I14&lt;F38,I14,D39)</f>
        <v>2145.911111111111</v>
      </c>
      <c r="F39" s="163">
        <f t="shared" si="10"/>
        <v>49890.429175683603</v>
      </c>
      <c r="G39" s="165">
        <f t="shared" si="11"/>
        <v>8897.9111111111106</v>
      </c>
      <c r="H39" s="147">
        <f t="shared" si="12"/>
        <v>8897.9111111111106</v>
      </c>
      <c r="I39" s="160">
        <f t="shared" si="0"/>
        <v>0</v>
      </c>
      <c r="J39" s="160"/>
      <c r="K39" s="330"/>
      <c r="L39" s="162">
        <f t="shared" si="2"/>
        <v>0</v>
      </c>
      <c r="M39" s="330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49890.429175683603</v>
      </c>
      <c r="E40" s="164">
        <f>IF(+I14&lt;F39,I14,D40)</f>
        <v>2145.911111111111</v>
      </c>
      <c r="F40" s="163">
        <f t="shared" si="10"/>
        <v>47744.51806457249</v>
      </c>
      <c r="G40" s="165">
        <f t="shared" si="11"/>
        <v>8607.9111111111106</v>
      </c>
      <c r="H40" s="147">
        <f t="shared" si="12"/>
        <v>8607.9111111111106</v>
      </c>
      <c r="I40" s="160">
        <f t="shared" si="0"/>
        <v>0</v>
      </c>
      <c r="J40" s="160"/>
      <c r="K40" s="330"/>
      <c r="L40" s="162">
        <f t="shared" si="2"/>
        <v>0</v>
      </c>
      <c r="M40" s="330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47744.51806457249</v>
      </c>
      <c r="E41" s="164">
        <f>IF(+I14&lt;F40,I14,D41)</f>
        <v>2145.911111111111</v>
      </c>
      <c r="F41" s="163">
        <f t="shared" si="10"/>
        <v>45598.606953461378</v>
      </c>
      <c r="G41" s="165">
        <f t="shared" si="11"/>
        <v>8316.9111111111106</v>
      </c>
      <c r="H41" s="147">
        <f t="shared" si="12"/>
        <v>8316.9111111111106</v>
      </c>
      <c r="I41" s="160">
        <f t="shared" si="0"/>
        <v>0</v>
      </c>
      <c r="J41" s="160"/>
      <c r="K41" s="330"/>
      <c r="L41" s="162">
        <f t="shared" si="2"/>
        <v>0</v>
      </c>
      <c r="M41" s="330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45598.606953461378</v>
      </c>
      <c r="E42" s="164">
        <f>IF(+I14&lt;F41,I14,D42)</f>
        <v>2145.911111111111</v>
      </c>
      <c r="F42" s="163">
        <f t="shared" si="10"/>
        <v>43452.695842350266</v>
      </c>
      <c r="G42" s="165">
        <f t="shared" si="11"/>
        <v>8026.9111111111106</v>
      </c>
      <c r="H42" s="147">
        <f t="shared" si="12"/>
        <v>8026.9111111111106</v>
      </c>
      <c r="I42" s="160">
        <f t="shared" si="0"/>
        <v>0</v>
      </c>
      <c r="J42" s="160"/>
      <c r="K42" s="330"/>
      <c r="L42" s="162">
        <f t="shared" si="2"/>
        <v>0</v>
      </c>
      <c r="M42" s="330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43452.695842350266</v>
      </c>
      <c r="E43" s="164">
        <f>IF(+I14&lt;F42,I14,D43)</f>
        <v>2145.911111111111</v>
      </c>
      <c r="F43" s="163">
        <f t="shared" si="10"/>
        <v>41306.784731239153</v>
      </c>
      <c r="G43" s="165">
        <f t="shared" si="11"/>
        <v>7735.9111111111106</v>
      </c>
      <c r="H43" s="147">
        <f t="shared" si="12"/>
        <v>7735.9111111111106</v>
      </c>
      <c r="I43" s="160">
        <f t="shared" si="0"/>
        <v>0</v>
      </c>
      <c r="J43" s="160"/>
      <c r="K43" s="330"/>
      <c r="L43" s="162">
        <f t="shared" si="2"/>
        <v>0</v>
      </c>
      <c r="M43" s="330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41306.784731239153</v>
      </c>
      <c r="E44" s="164">
        <f>IF(+I14&lt;F43,I14,D44)</f>
        <v>2145.911111111111</v>
      </c>
      <c r="F44" s="163">
        <f t="shared" si="10"/>
        <v>39160.873620128041</v>
      </c>
      <c r="G44" s="165">
        <f t="shared" si="11"/>
        <v>7445.9111111111106</v>
      </c>
      <c r="H44" s="147">
        <f t="shared" si="12"/>
        <v>7445.9111111111106</v>
      </c>
      <c r="I44" s="160">
        <f t="shared" si="0"/>
        <v>0</v>
      </c>
      <c r="J44" s="160"/>
      <c r="K44" s="330"/>
      <c r="L44" s="162">
        <f t="shared" si="2"/>
        <v>0</v>
      </c>
      <c r="M44" s="330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39160.873620128041</v>
      </c>
      <c r="E45" s="164">
        <f>IF(+I14&lt;F44,I14,D45)</f>
        <v>2145.911111111111</v>
      </c>
      <c r="F45" s="163">
        <f t="shared" si="10"/>
        <v>37014.962509016928</v>
      </c>
      <c r="G45" s="165">
        <f t="shared" si="11"/>
        <v>7154.9111111111106</v>
      </c>
      <c r="H45" s="147">
        <f t="shared" si="12"/>
        <v>7154.9111111111106</v>
      </c>
      <c r="I45" s="160">
        <f t="shared" si="0"/>
        <v>0</v>
      </c>
      <c r="J45" s="160"/>
      <c r="K45" s="330"/>
      <c r="L45" s="162">
        <f t="shared" si="2"/>
        <v>0</v>
      </c>
      <c r="M45" s="330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37014.962509016928</v>
      </c>
      <c r="E46" s="164">
        <f>IF(+I14&lt;F45,I14,D46)</f>
        <v>2145.911111111111</v>
      </c>
      <c r="F46" s="163">
        <f t="shared" si="10"/>
        <v>34869.051397905816</v>
      </c>
      <c r="G46" s="165">
        <f t="shared" si="11"/>
        <v>6864.9111111111106</v>
      </c>
      <c r="H46" s="147">
        <f t="shared" si="12"/>
        <v>6864.9111111111106</v>
      </c>
      <c r="I46" s="160">
        <f t="shared" si="0"/>
        <v>0</v>
      </c>
      <c r="J46" s="160"/>
      <c r="K46" s="330"/>
      <c r="L46" s="162">
        <f t="shared" si="2"/>
        <v>0</v>
      </c>
      <c r="M46" s="330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34869.051397905816</v>
      </c>
      <c r="E47" s="164">
        <f>IF(+I14&lt;F46,I14,D47)</f>
        <v>2145.911111111111</v>
      </c>
      <c r="F47" s="163">
        <f t="shared" si="10"/>
        <v>32723.140286794704</v>
      </c>
      <c r="G47" s="165">
        <f t="shared" si="11"/>
        <v>6574.9111111111106</v>
      </c>
      <c r="H47" s="147">
        <f t="shared" si="12"/>
        <v>6574.9111111111106</v>
      </c>
      <c r="I47" s="160">
        <f t="shared" si="0"/>
        <v>0</v>
      </c>
      <c r="J47" s="160"/>
      <c r="K47" s="330"/>
      <c r="L47" s="162">
        <f t="shared" si="2"/>
        <v>0</v>
      </c>
      <c r="M47" s="330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32723.140286794704</v>
      </c>
      <c r="E48" s="164">
        <f>IF(+I14&lt;F47,I14,D48)</f>
        <v>2145.911111111111</v>
      </c>
      <c r="F48" s="163">
        <f t="shared" si="10"/>
        <v>30577.229175683591</v>
      </c>
      <c r="G48" s="165">
        <f t="shared" si="11"/>
        <v>6283.9111111111106</v>
      </c>
      <c r="H48" s="147">
        <f t="shared" si="12"/>
        <v>6283.9111111111106</v>
      </c>
      <c r="I48" s="160">
        <f t="shared" si="0"/>
        <v>0</v>
      </c>
      <c r="J48" s="160"/>
      <c r="K48" s="330"/>
      <c r="L48" s="162">
        <f t="shared" si="2"/>
        <v>0</v>
      </c>
      <c r="M48" s="330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30577.229175683591</v>
      </c>
      <c r="E49" s="164">
        <f>IF(+I14&lt;F48,I14,D49)</f>
        <v>2145.911111111111</v>
      </c>
      <c r="F49" s="163">
        <f t="shared" ref="F49:F72" si="13">+D49-E49</f>
        <v>28431.318064572479</v>
      </c>
      <c r="G49" s="165">
        <f t="shared" si="11"/>
        <v>5993.9111111111106</v>
      </c>
      <c r="H49" s="147">
        <f t="shared" si="12"/>
        <v>5993.9111111111106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2043</v>
      </c>
      <c r="D50" s="163">
        <f>IF(F49+SUM(E$17:E49)=D$10,F49,D$10-SUM(E$17:E49))</f>
        <v>28431.318064572479</v>
      </c>
      <c r="E50" s="164">
        <f>IF(+I14&lt;F49,I14,D50)</f>
        <v>2145.911111111111</v>
      </c>
      <c r="F50" s="163">
        <f t="shared" si="13"/>
        <v>26285.406953461366</v>
      </c>
      <c r="G50" s="165">
        <f t="shared" si="11"/>
        <v>5702.9111111111106</v>
      </c>
      <c r="H50" s="147">
        <f t="shared" si="12"/>
        <v>5702.9111111111106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2044</v>
      </c>
      <c r="D51" s="163">
        <f>IF(F50+SUM(E$17:E50)=D$10,F50,D$10-SUM(E$17:E50))</f>
        <v>26285.406953461366</v>
      </c>
      <c r="E51" s="164">
        <f>IF(+I14&lt;F50,I14,D51)</f>
        <v>2145.911111111111</v>
      </c>
      <c r="F51" s="163">
        <f t="shared" si="13"/>
        <v>24139.495842350254</v>
      </c>
      <c r="G51" s="165">
        <f t="shared" si="11"/>
        <v>5412.9111111111106</v>
      </c>
      <c r="H51" s="147">
        <f t="shared" si="12"/>
        <v>5412.9111111111106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2045</v>
      </c>
      <c r="D52" s="163">
        <f>IF(F51+SUM(E$17:E51)=D$10,F51,D$10-SUM(E$17:E51))</f>
        <v>24139.495842350254</v>
      </c>
      <c r="E52" s="164">
        <f>IF(+I14&lt;F51,I14,D52)</f>
        <v>2145.911111111111</v>
      </c>
      <c r="F52" s="163">
        <f t="shared" si="13"/>
        <v>21993.584731239142</v>
      </c>
      <c r="G52" s="165">
        <f t="shared" si="11"/>
        <v>5122.9111111111106</v>
      </c>
      <c r="H52" s="147">
        <f t="shared" si="12"/>
        <v>5122.9111111111106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2046</v>
      </c>
      <c r="D53" s="163">
        <f>IF(F52+SUM(E$17:E52)=D$10,F52,D$10-SUM(E$17:E52))</f>
        <v>21993.584731239142</v>
      </c>
      <c r="E53" s="164">
        <f>IF(+I14&lt;F52,I14,D53)</f>
        <v>2145.911111111111</v>
      </c>
      <c r="F53" s="163">
        <f t="shared" si="13"/>
        <v>19847.673620128029</v>
      </c>
      <c r="G53" s="165">
        <f t="shared" si="11"/>
        <v>4831.9111111111106</v>
      </c>
      <c r="H53" s="147">
        <f t="shared" si="12"/>
        <v>4831.9111111111106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2047</v>
      </c>
      <c r="D54" s="163">
        <f>IF(F53+SUM(E$17:E53)=D$10,F53,D$10-SUM(E$17:E53))</f>
        <v>19847.673620128029</v>
      </c>
      <c r="E54" s="164">
        <f>IF(+I14&lt;F53,I14,D54)</f>
        <v>2145.911111111111</v>
      </c>
      <c r="F54" s="163">
        <f t="shared" si="13"/>
        <v>17701.762509016917</v>
      </c>
      <c r="G54" s="165">
        <f t="shared" si="11"/>
        <v>4541.9111111111106</v>
      </c>
      <c r="H54" s="147">
        <f t="shared" si="12"/>
        <v>4541.9111111111106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2048</v>
      </c>
      <c r="D55" s="163">
        <f>IF(F54+SUM(E$17:E54)=D$10,F54,D$10-SUM(E$17:E54))</f>
        <v>17701.762509016917</v>
      </c>
      <c r="E55" s="164">
        <f>IF(+I14&lt;F54,I14,D55)</f>
        <v>2145.911111111111</v>
      </c>
      <c r="F55" s="163">
        <f t="shared" si="13"/>
        <v>15555.851397905806</v>
      </c>
      <c r="G55" s="165">
        <f t="shared" si="11"/>
        <v>4250.9111111111106</v>
      </c>
      <c r="H55" s="147">
        <f t="shared" si="12"/>
        <v>4250.9111111111106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2049</v>
      </c>
      <c r="D56" s="163">
        <f>IF(F55+SUM(E$17:E55)=D$10,F55,D$10-SUM(E$17:E55))</f>
        <v>15555.851397905806</v>
      </c>
      <c r="E56" s="164">
        <f>IF(+I14&lt;F55,I14,D56)</f>
        <v>2145.911111111111</v>
      </c>
      <c r="F56" s="163">
        <f t="shared" si="13"/>
        <v>13409.940286794696</v>
      </c>
      <c r="G56" s="165">
        <f t="shared" si="11"/>
        <v>3960.911111111111</v>
      </c>
      <c r="H56" s="147">
        <f t="shared" si="12"/>
        <v>3960.911111111111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2050</v>
      </c>
      <c r="D57" s="163">
        <f>IF(F56+SUM(E$17:E56)=D$10,F56,D$10-SUM(E$17:E56))</f>
        <v>13409.940286794696</v>
      </c>
      <c r="E57" s="164">
        <f>IF(+I14&lt;F56,I14,D57)</f>
        <v>2145.911111111111</v>
      </c>
      <c r="F57" s="163">
        <f t="shared" si="13"/>
        <v>11264.029175683585</v>
      </c>
      <c r="G57" s="165">
        <f t="shared" si="11"/>
        <v>3669.911111111111</v>
      </c>
      <c r="H57" s="147">
        <f t="shared" si="12"/>
        <v>3669.911111111111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2051</v>
      </c>
      <c r="D58" s="163">
        <f>IF(F57+SUM(E$17:E57)=D$10,F57,D$10-SUM(E$17:E57))</f>
        <v>11264.029175683585</v>
      </c>
      <c r="E58" s="164">
        <f>IF(+I14&lt;F57,I14,D58)</f>
        <v>2145.911111111111</v>
      </c>
      <c r="F58" s="163">
        <f t="shared" si="13"/>
        <v>9118.1180645724744</v>
      </c>
      <c r="G58" s="165">
        <f t="shared" si="11"/>
        <v>3379.911111111111</v>
      </c>
      <c r="H58" s="147">
        <f t="shared" si="12"/>
        <v>3379.911111111111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2052</v>
      </c>
      <c r="D59" s="163">
        <f>IF(F58+SUM(E$17:E58)=D$10,F58,D$10-SUM(E$17:E58))</f>
        <v>9118.1180645724744</v>
      </c>
      <c r="E59" s="164">
        <f>IF(+I14&lt;F58,I14,D59)</f>
        <v>2145.911111111111</v>
      </c>
      <c r="F59" s="163">
        <f t="shared" si="13"/>
        <v>6972.2069534613638</v>
      </c>
      <c r="G59" s="165">
        <f t="shared" si="11"/>
        <v>3089.911111111111</v>
      </c>
      <c r="H59" s="147">
        <f t="shared" si="12"/>
        <v>3089.911111111111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2053</v>
      </c>
      <c r="D60" s="163">
        <f>IF(F59+SUM(E$17:E59)=D$10,F59,D$10-SUM(E$17:E59))</f>
        <v>6972.2069534613638</v>
      </c>
      <c r="E60" s="164">
        <f>IF(+I14&lt;F59,I14,D60)</f>
        <v>2145.911111111111</v>
      </c>
      <c r="F60" s="163">
        <f t="shared" si="13"/>
        <v>4826.2958423502532</v>
      </c>
      <c r="G60" s="165">
        <f t="shared" si="11"/>
        <v>2798.911111111111</v>
      </c>
      <c r="H60" s="147">
        <f t="shared" si="12"/>
        <v>2798.911111111111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2054</v>
      </c>
      <c r="D61" s="163">
        <f>IF(F60+SUM(E$17:E60)=D$10,F60,D$10-SUM(E$17:E60))</f>
        <v>4826.2958423502532</v>
      </c>
      <c r="E61" s="164">
        <f>IF(+I14&lt;F60,I14,D61)</f>
        <v>2145.911111111111</v>
      </c>
      <c r="F61" s="163">
        <f t="shared" si="13"/>
        <v>2680.3847312391422</v>
      </c>
      <c r="G61" s="167">
        <f t="shared" si="11"/>
        <v>2508.911111111111</v>
      </c>
      <c r="H61" s="147">
        <f t="shared" si="12"/>
        <v>2508.911111111111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2055</v>
      </c>
      <c r="D62" s="163">
        <f>IF(F61+SUM(E$17:E61)=D$10,F61,D$10-SUM(E$17:E61))</f>
        <v>2680.3847312391422</v>
      </c>
      <c r="E62" s="164">
        <f>IF(+I14&lt;F61,I14,D62)</f>
        <v>2145.911111111111</v>
      </c>
      <c r="F62" s="163">
        <f t="shared" si="13"/>
        <v>534.47362012803114</v>
      </c>
      <c r="G62" s="167">
        <f t="shared" si="11"/>
        <v>2217.911111111111</v>
      </c>
      <c r="H62" s="147">
        <f t="shared" si="12"/>
        <v>2217.911111111111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2056</v>
      </c>
      <c r="D63" s="163">
        <f>IF(F62+SUM(E$17:E62)=D$10,F62,D$10-SUM(E$17:E62))</f>
        <v>534.47362012803114</v>
      </c>
      <c r="E63" s="164">
        <f>IF(+I14&lt;F62,I14,D63)</f>
        <v>534.47362012803114</v>
      </c>
      <c r="F63" s="163">
        <f t="shared" si="13"/>
        <v>0</v>
      </c>
      <c r="G63" s="167">
        <f t="shared" si="11"/>
        <v>534.47362012803114</v>
      </c>
      <c r="H63" s="147">
        <f t="shared" si="12"/>
        <v>534.47362012803114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2057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7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382" t="str">
        <f t="shared" si="6"/>
        <v/>
      </c>
      <c r="C65" s="157">
        <f>IF(D11="","-",+C64+1)</f>
        <v>2058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1"/>
        <v>0</v>
      </c>
      <c r="H72" s="130">
        <f t="shared" si="12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96565.999999999971</v>
      </c>
      <c r="F73" s="115"/>
      <c r="G73" s="115">
        <f>SUM(G17:G72)</f>
        <v>408488.99999999994</v>
      </c>
      <c r="H73" s="115">
        <f>SUM(H17:H72)</f>
        <v>408488.99999999994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10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12963.911111111111</v>
      </c>
      <c r="N87" s="202">
        <f>IF(J92&lt;D11,0,VLOOKUP(J92,C17:O72,11))</f>
        <v>12963.911111111111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10568.967843132519</v>
      </c>
      <c r="N88" s="204">
        <f>IF(J92&lt;D11,0,VLOOKUP(J92,C99:P154,7))</f>
        <v>10568.967843132519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Wavetrap Clinton City-Foss Tap 69kV Ckt 1*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-2394.9432679785914</v>
      </c>
      <c r="N89" s="207">
        <f>+N88-N87</f>
        <v>-2394.9432679785914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TP2009011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96566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2010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2246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2010</v>
      </c>
      <c r="D99" s="361">
        <v>0</v>
      </c>
      <c r="E99" s="363">
        <v>946.5</v>
      </c>
      <c r="F99" s="366">
        <v>95619.5</v>
      </c>
      <c r="G99" s="368">
        <v>47809.75</v>
      </c>
      <c r="H99" s="369">
        <v>8635.0355480484341</v>
      </c>
      <c r="I99" s="370">
        <v>8635.0355480484341</v>
      </c>
      <c r="J99" s="162">
        <f t="shared" ref="J99:J130" si="18">+I99-H99</f>
        <v>0</v>
      </c>
      <c r="K99" s="162"/>
      <c r="L99" s="379">
        <f t="shared" ref="L99:L104" si="19">H99</f>
        <v>8635.0355480484341</v>
      </c>
      <c r="M99" s="380">
        <f t="shared" ref="M99:M130" si="20">IF(L99&lt;&gt;0,+H99-L99,0)</f>
        <v>0</v>
      </c>
      <c r="N99" s="379">
        <f t="shared" ref="N99:N104" si="21">I99</f>
        <v>8635.0355480484341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/>
      </c>
      <c r="C100" s="157">
        <f>IF(D93="","-",+C99+1)</f>
        <v>2011</v>
      </c>
      <c r="D100" s="361">
        <v>95619.5</v>
      </c>
      <c r="E100" s="363">
        <v>1857</v>
      </c>
      <c r="F100" s="366">
        <v>93762.5</v>
      </c>
      <c r="G100" s="366">
        <v>94691</v>
      </c>
      <c r="H100" s="363">
        <v>15096.07425133265</v>
      </c>
      <c r="I100" s="365">
        <v>15096.07425133265</v>
      </c>
      <c r="J100" s="162">
        <f t="shared" si="18"/>
        <v>0</v>
      </c>
      <c r="K100" s="162"/>
      <c r="L100" s="375">
        <f t="shared" si="19"/>
        <v>15096.07425133265</v>
      </c>
      <c r="M100" s="376">
        <f t="shared" si="20"/>
        <v>0</v>
      </c>
      <c r="N100" s="375">
        <f t="shared" si="21"/>
        <v>15096.07425133265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157">
        <f>IF(D93="","-",+C100+1)</f>
        <v>2012</v>
      </c>
      <c r="D101" s="361">
        <v>93762.5</v>
      </c>
      <c r="E101" s="363">
        <v>1857</v>
      </c>
      <c r="F101" s="366">
        <v>91905.5</v>
      </c>
      <c r="G101" s="366">
        <v>92834</v>
      </c>
      <c r="H101" s="363">
        <v>15211.679797187964</v>
      </c>
      <c r="I101" s="365">
        <v>15211.679797187964</v>
      </c>
      <c r="J101" s="162">
        <v>0</v>
      </c>
      <c r="K101" s="162"/>
      <c r="L101" s="375">
        <f t="shared" si="19"/>
        <v>15211.679797187964</v>
      </c>
      <c r="M101" s="376">
        <f t="shared" ref="M101:M106" si="25">IF(L101&lt;&gt;0,+H101-L101,0)</f>
        <v>0</v>
      </c>
      <c r="N101" s="375">
        <f t="shared" si="21"/>
        <v>15211.679797187964</v>
      </c>
      <c r="O101" s="162">
        <f t="shared" ref="O101:O106" si="26">IF(N101&lt;&gt;0,+I101-N101,0)</f>
        <v>0</v>
      </c>
      <c r="P101" s="162">
        <f t="shared" ref="P101:P106" si="27">+O101-M101</f>
        <v>0</v>
      </c>
    </row>
    <row r="102" spans="1:16">
      <c r="B102" s="9" t="str">
        <f t="shared" si="24"/>
        <v/>
      </c>
      <c r="C102" s="157">
        <f>IF(D93="","-",+C101+1)</f>
        <v>2013</v>
      </c>
      <c r="D102" s="361">
        <v>91905.5</v>
      </c>
      <c r="E102" s="363">
        <v>1857</v>
      </c>
      <c r="F102" s="366">
        <v>90048.5</v>
      </c>
      <c r="G102" s="366">
        <v>90977</v>
      </c>
      <c r="H102" s="363">
        <v>14952.192437840908</v>
      </c>
      <c r="I102" s="365">
        <v>14952.192437840908</v>
      </c>
      <c r="J102" s="162">
        <v>0</v>
      </c>
      <c r="K102" s="162"/>
      <c r="L102" s="375">
        <f t="shared" si="19"/>
        <v>14952.192437840908</v>
      </c>
      <c r="M102" s="376">
        <f t="shared" si="25"/>
        <v>0</v>
      </c>
      <c r="N102" s="375">
        <f t="shared" si="21"/>
        <v>14952.192437840908</v>
      </c>
      <c r="O102" s="162">
        <f t="shared" si="26"/>
        <v>0</v>
      </c>
      <c r="P102" s="162">
        <f t="shared" si="27"/>
        <v>0</v>
      </c>
    </row>
    <row r="103" spans="1:16">
      <c r="B103" s="9" t="str">
        <f t="shared" si="24"/>
        <v/>
      </c>
      <c r="C103" s="157">
        <f>IF(D93="","-",+C102+1)</f>
        <v>2014</v>
      </c>
      <c r="D103" s="361">
        <v>90048.5</v>
      </c>
      <c r="E103" s="363">
        <v>1857</v>
      </c>
      <c r="F103" s="366">
        <v>88191.5</v>
      </c>
      <c r="G103" s="366">
        <v>89120</v>
      </c>
      <c r="H103" s="363">
        <v>14386.907699066522</v>
      </c>
      <c r="I103" s="365">
        <v>14386.907699066522</v>
      </c>
      <c r="J103" s="162">
        <v>0</v>
      </c>
      <c r="K103" s="162"/>
      <c r="L103" s="375">
        <f t="shared" si="19"/>
        <v>14386.907699066522</v>
      </c>
      <c r="M103" s="376">
        <f t="shared" si="25"/>
        <v>0</v>
      </c>
      <c r="N103" s="375">
        <f t="shared" si="21"/>
        <v>14386.907699066522</v>
      </c>
      <c r="O103" s="162">
        <f t="shared" si="26"/>
        <v>0</v>
      </c>
      <c r="P103" s="162">
        <f t="shared" si="27"/>
        <v>0</v>
      </c>
    </row>
    <row r="104" spans="1:16">
      <c r="B104" s="9" t="str">
        <f t="shared" si="24"/>
        <v/>
      </c>
      <c r="C104" s="157">
        <f>IF(D93="","-",+C103+1)</f>
        <v>2015</v>
      </c>
      <c r="D104" s="361">
        <v>88191.5</v>
      </c>
      <c r="E104" s="363">
        <v>1857</v>
      </c>
      <c r="F104" s="366">
        <v>86334.5</v>
      </c>
      <c r="G104" s="366">
        <v>87263</v>
      </c>
      <c r="H104" s="363">
        <v>13763.334720904193</v>
      </c>
      <c r="I104" s="365">
        <v>13763.334720904193</v>
      </c>
      <c r="J104" s="162">
        <f t="shared" si="18"/>
        <v>0</v>
      </c>
      <c r="K104" s="162"/>
      <c r="L104" s="375">
        <f t="shared" si="19"/>
        <v>13763.334720904193</v>
      </c>
      <c r="M104" s="376">
        <f t="shared" si="25"/>
        <v>0</v>
      </c>
      <c r="N104" s="375">
        <f t="shared" si="21"/>
        <v>13763.334720904193</v>
      </c>
      <c r="O104" s="162">
        <f t="shared" si="26"/>
        <v>0</v>
      </c>
      <c r="P104" s="162">
        <f t="shared" si="27"/>
        <v>0</v>
      </c>
    </row>
    <row r="105" spans="1:16">
      <c r="B105" s="9" t="str">
        <f t="shared" si="24"/>
        <v/>
      </c>
      <c r="C105" s="157">
        <f>IF(D93="","-",+C104+1)</f>
        <v>2016</v>
      </c>
      <c r="D105" s="361">
        <v>86334.5</v>
      </c>
      <c r="E105" s="363">
        <v>2099</v>
      </c>
      <c r="F105" s="366">
        <v>84235.5</v>
      </c>
      <c r="G105" s="366">
        <v>85285</v>
      </c>
      <c r="H105" s="363">
        <v>13093.579642748955</v>
      </c>
      <c r="I105" s="365">
        <v>13093.579642748955</v>
      </c>
      <c r="J105" s="162">
        <f t="shared" si="18"/>
        <v>0</v>
      </c>
      <c r="K105" s="162"/>
      <c r="L105" s="375">
        <f>H105</f>
        <v>13093.579642748955</v>
      </c>
      <c r="M105" s="376">
        <f t="shared" si="25"/>
        <v>0</v>
      </c>
      <c r="N105" s="375">
        <f>I105</f>
        <v>13093.579642748955</v>
      </c>
      <c r="O105" s="162">
        <f t="shared" si="26"/>
        <v>0</v>
      </c>
      <c r="P105" s="162">
        <f t="shared" si="27"/>
        <v>0</v>
      </c>
    </row>
    <row r="106" spans="1:16">
      <c r="B106" s="9" t="str">
        <f t="shared" si="24"/>
        <v/>
      </c>
      <c r="C106" s="157">
        <f>IF(D93="","-",+C105+1)</f>
        <v>2017</v>
      </c>
      <c r="D106" s="361">
        <v>84235.5</v>
      </c>
      <c r="E106" s="363">
        <v>2099</v>
      </c>
      <c r="F106" s="366">
        <v>82136.5</v>
      </c>
      <c r="G106" s="366">
        <v>83186</v>
      </c>
      <c r="H106" s="363">
        <v>12651.353853573521</v>
      </c>
      <c r="I106" s="365">
        <v>12651.353853573521</v>
      </c>
      <c r="J106" s="162">
        <f t="shared" si="18"/>
        <v>0</v>
      </c>
      <c r="K106" s="162"/>
      <c r="L106" s="375">
        <f>H106</f>
        <v>12651.353853573521</v>
      </c>
      <c r="M106" s="376">
        <f t="shared" si="25"/>
        <v>0</v>
      </c>
      <c r="N106" s="375">
        <f>I106</f>
        <v>12651.353853573521</v>
      </c>
      <c r="O106" s="162">
        <f t="shared" si="26"/>
        <v>0</v>
      </c>
      <c r="P106" s="162">
        <f t="shared" si="27"/>
        <v>0</v>
      </c>
    </row>
    <row r="107" spans="1:16">
      <c r="B107" s="9" t="str">
        <f t="shared" si="24"/>
        <v/>
      </c>
      <c r="C107" s="157">
        <f>IF(D93="","-",+C106+1)</f>
        <v>2018</v>
      </c>
      <c r="D107" s="158">
        <f>IF(F106+SUM(E$99:E106)=D$92,F106,D$92-SUM(E$99:E106))</f>
        <v>82136.5</v>
      </c>
      <c r="E107" s="165">
        <f>IF(+J96&lt;F106,J96,D107)</f>
        <v>2246</v>
      </c>
      <c r="F107" s="163">
        <f t="shared" ref="F107:F129" si="28">+D107-E107</f>
        <v>79890.5</v>
      </c>
      <c r="G107" s="163">
        <f t="shared" ref="G107:G129" si="29">+(F107+D107)/2</f>
        <v>81013.5</v>
      </c>
      <c r="H107" s="167">
        <f t="shared" ref="H107:H130" si="30">+J$94*G107+E107</f>
        <v>10568.967843132519</v>
      </c>
      <c r="I107" s="312">
        <f t="shared" ref="I107:I130" si="31">+J$95*G107+E107</f>
        <v>10568.967843132519</v>
      </c>
      <c r="J107" s="162">
        <f t="shared" si="18"/>
        <v>0</v>
      </c>
      <c r="K107" s="162"/>
      <c r="L107" s="330"/>
      <c r="M107" s="162">
        <f t="shared" si="20"/>
        <v>0</v>
      </c>
      <c r="N107" s="330"/>
      <c r="O107" s="162">
        <f t="shared" si="22"/>
        <v>0</v>
      </c>
      <c r="P107" s="162">
        <f t="shared" si="23"/>
        <v>0</v>
      </c>
    </row>
    <row r="108" spans="1:16">
      <c r="B108" s="9" t="str">
        <f t="shared" si="24"/>
        <v/>
      </c>
      <c r="C108" s="157">
        <f>IF(D93="","-",+C107+1)</f>
        <v>2019</v>
      </c>
      <c r="D108" s="158">
        <f>IF(F107+SUM(E$99:E107)=D$92,F107,D$92-SUM(E$99:E107))</f>
        <v>79890.5</v>
      </c>
      <c r="E108" s="165">
        <f>IF(+J96&lt;F107,J96,D108)</f>
        <v>2246</v>
      </c>
      <c r="F108" s="163">
        <f t="shared" si="28"/>
        <v>77644.5</v>
      </c>
      <c r="G108" s="163">
        <f t="shared" si="29"/>
        <v>78767.5</v>
      </c>
      <c r="H108" s="167">
        <f t="shared" si="30"/>
        <v>10338.223760039262</v>
      </c>
      <c r="I108" s="312">
        <f t="shared" si="31"/>
        <v>10338.223760039262</v>
      </c>
      <c r="J108" s="162">
        <f t="shared" si="18"/>
        <v>0</v>
      </c>
      <c r="K108" s="162"/>
      <c r="L108" s="330"/>
      <c r="M108" s="162">
        <f t="shared" si="20"/>
        <v>0</v>
      </c>
      <c r="N108" s="330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2020</v>
      </c>
      <c r="D109" s="158">
        <f>IF(F108+SUM(E$99:E108)=D$92,F108,D$92-SUM(E$99:E108))</f>
        <v>77644.5</v>
      </c>
      <c r="E109" s="165">
        <f>IF(+J96&lt;F108,J96,D109)</f>
        <v>2246</v>
      </c>
      <c r="F109" s="163">
        <f t="shared" si="28"/>
        <v>75398.5</v>
      </c>
      <c r="G109" s="163">
        <f t="shared" si="29"/>
        <v>76521.5</v>
      </c>
      <c r="H109" s="167">
        <f t="shared" si="30"/>
        <v>10107.479676946004</v>
      </c>
      <c r="I109" s="312">
        <f t="shared" si="31"/>
        <v>10107.479676946004</v>
      </c>
      <c r="J109" s="162">
        <f t="shared" si="18"/>
        <v>0</v>
      </c>
      <c r="K109" s="162"/>
      <c r="L109" s="330"/>
      <c r="M109" s="162">
        <f t="shared" si="20"/>
        <v>0</v>
      </c>
      <c r="N109" s="330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2021</v>
      </c>
      <c r="D110" s="158">
        <f>IF(F109+SUM(E$99:E109)=D$92,F109,D$92-SUM(E$99:E109))</f>
        <v>75398.5</v>
      </c>
      <c r="E110" s="165">
        <f>IF(+J96&lt;F109,J96,D110)</f>
        <v>2246</v>
      </c>
      <c r="F110" s="163">
        <f t="shared" si="28"/>
        <v>73152.5</v>
      </c>
      <c r="G110" s="163">
        <f t="shared" si="29"/>
        <v>74275.5</v>
      </c>
      <c r="H110" s="167">
        <f t="shared" si="30"/>
        <v>9876.7355938527471</v>
      </c>
      <c r="I110" s="312">
        <f t="shared" si="31"/>
        <v>9876.7355938527471</v>
      </c>
      <c r="J110" s="162">
        <f t="shared" si="18"/>
        <v>0</v>
      </c>
      <c r="K110" s="162"/>
      <c r="L110" s="330"/>
      <c r="M110" s="162">
        <f t="shared" si="20"/>
        <v>0</v>
      </c>
      <c r="N110" s="330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2022</v>
      </c>
      <c r="D111" s="158">
        <f>IF(F110+SUM(E$99:E110)=D$92,F110,D$92-SUM(E$99:E110))</f>
        <v>73152.5</v>
      </c>
      <c r="E111" s="165">
        <f>IF(+J96&lt;F110,J96,D111)</f>
        <v>2246</v>
      </c>
      <c r="F111" s="163">
        <f t="shared" si="28"/>
        <v>70906.5</v>
      </c>
      <c r="G111" s="163">
        <f t="shared" si="29"/>
        <v>72029.5</v>
      </c>
      <c r="H111" s="167">
        <f t="shared" si="30"/>
        <v>9645.9915107594898</v>
      </c>
      <c r="I111" s="312">
        <f t="shared" si="31"/>
        <v>9645.9915107594898</v>
      </c>
      <c r="J111" s="162">
        <f t="shared" si="18"/>
        <v>0</v>
      </c>
      <c r="K111" s="162"/>
      <c r="L111" s="330"/>
      <c r="M111" s="162">
        <f t="shared" si="20"/>
        <v>0</v>
      </c>
      <c r="N111" s="330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2023</v>
      </c>
      <c r="D112" s="158">
        <f>IF(F111+SUM(E$99:E111)=D$92,F111,D$92-SUM(E$99:E111))</f>
        <v>70906.5</v>
      </c>
      <c r="E112" s="165">
        <f>IF(+J96&lt;F111,J96,D112)</f>
        <v>2246</v>
      </c>
      <c r="F112" s="163">
        <f t="shared" si="28"/>
        <v>68660.5</v>
      </c>
      <c r="G112" s="163">
        <f t="shared" si="29"/>
        <v>69783.5</v>
      </c>
      <c r="H112" s="167">
        <f t="shared" si="30"/>
        <v>9415.2474276662306</v>
      </c>
      <c r="I112" s="312">
        <f t="shared" si="31"/>
        <v>9415.2474276662306</v>
      </c>
      <c r="J112" s="162">
        <f t="shared" si="18"/>
        <v>0</v>
      </c>
      <c r="K112" s="162"/>
      <c r="L112" s="330"/>
      <c r="M112" s="162">
        <f t="shared" si="20"/>
        <v>0</v>
      </c>
      <c r="N112" s="330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2024</v>
      </c>
      <c r="D113" s="158">
        <f>IF(F112+SUM(E$99:E112)=D$92,F112,D$92-SUM(E$99:E112))</f>
        <v>68660.5</v>
      </c>
      <c r="E113" s="165">
        <f>IF(+J96&lt;F112,J96,D113)</f>
        <v>2246</v>
      </c>
      <c r="F113" s="163">
        <f t="shared" si="28"/>
        <v>66414.5</v>
      </c>
      <c r="G113" s="163">
        <f t="shared" si="29"/>
        <v>67537.5</v>
      </c>
      <c r="H113" s="167">
        <f t="shared" si="30"/>
        <v>9184.5033445729732</v>
      </c>
      <c r="I113" s="312">
        <f t="shared" si="31"/>
        <v>9184.5033445729732</v>
      </c>
      <c r="J113" s="162">
        <f t="shared" si="18"/>
        <v>0</v>
      </c>
      <c r="K113" s="162"/>
      <c r="L113" s="330"/>
      <c r="M113" s="162">
        <f t="shared" si="20"/>
        <v>0</v>
      </c>
      <c r="N113" s="330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2025</v>
      </c>
      <c r="D114" s="158">
        <f>IF(F113+SUM(E$99:E113)=D$92,F113,D$92-SUM(E$99:E113))</f>
        <v>66414.5</v>
      </c>
      <c r="E114" s="165">
        <f>IF(+J96&lt;F113,J96,D114)</f>
        <v>2246</v>
      </c>
      <c r="F114" s="163">
        <f t="shared" si="28"/>
        <v>64168.5</v>
      </c>
      <c r="G114" s="163">
        <f t="shared" si="29"/>
        <v>65291.5</v>
      </c>
      <c r="H114" s="167">
        <f t="shared" si="30"/>
        <v>8953.759261479714</v>
      </c>
      <c r="I114" s="312">
        <f t="shared" si="31"/>
        <v>8953.759261479714</v>
      </c>
      <c r="J114" s="162">
        <f t="shared" si="18"/>
        <v>0</v>
      </c>
      <c r="K114" s="162"/>
      <c r="L114" s="330"/>
      <c r="M114" s="162">
        <f t="shared" si="20"/>
        <v>0</v>
      </c>
      <c r="N114" s="330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2026</v>
      </c>
      <c r="D115" s="158">
        <f>IF(F114+SUM(E$99:E114)=D$92,F114,D$92-SUM(E$99:E114))</f>
        <v>64168.5</v>
      </c>
      <c r="E115" s="165">
        <f>IF(+J96&lt;F114,J96,D115)</f>
        <v>2246</v>
      </c>
      <c r="F115" s="163">
        <f t="shared" si="28"/>
        <v>61922.5</v>
      </c>
      <c r="G115" s="163">
        <f t="shared" si="29"/>
        <v>63045.5</v>
      </c>
      <c r="H115" s="167">
        <f t="shared" si="30"/>
        <v>8723.0151783864567</v>
      </c>
      <c r="I115" s="312">
        <f t="shared" si="31"/>
        <v>8723.0151783864567</v>
      </c>
      <c r="J115" s="162">
        <f t="shared" si="18"/>
        <v>0</v>
      </c>
      <c r="K115" s="162"/>
      <c r="L115" s="330"/>
      <c r="M115" s="162">
        <f t="shared" si="20"/>
        <v>0</v>
      </c>
      <c r="N115" s="330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2027</v>
      </c>
      <c r="D116" s="158">
        <f>IF(F115+SUM(E$99:E115)=D$92,F115,D$92-SUM(E$99:E115))</f>
        <v>61922.5</v>
      </c>
      <c r="E116" s="165">
        <f>IF(+J96&lt;F115,J96,D116)</f>
        <v>2246</v>
      </c>
      <c r="F116" s="163">
        <f t="shared" si="28"/>
        <v>59676.5</v>
      </c>
      <c r="G116" s="163">
        <f t="shared" si="29"/>
        <v>60799.5</v>
      </c>
      <c r="H116" s="167">
        <f t="shared" si="30"/>
        <v>8492.2710952931993</v>
      </c>
      <c r="I116" s="312">
        <f t="shared" si="31"/>
        <v>8492.2710952931993</v>
      </c>
      <c r="J116" s="162">
        <f t="shared" si="18"/>
        <v>0</v>
      </c>
      <c r="K116" s="162"/>
      <c r="L116" s="330"/>
      <c r="M116" s="162">
        <f t="shared" si="20"/>
        <v>0</v>
      </c>
      <c r="N116" s="330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2028</v>
      </c>
      <c r="D117" s="158">
        <f>IF(F116+SUM(E$99:E116)=D$92,F116,D$92-SUM(E$99:E116))</f>
        <v>59676.5</v>
      </c>
      <c r="E117" s="165">
        <f>IF(+J96&lt;F116,J96,D117)</f>
        <v>2246</v>
      </c>
      <c r="F117" s="163">
        <f t="shared" si="28"/>
        <v>57430.5</v>
      </c>
      <c r="G117" s="163">
        <f t="shared" si="29"/>
        <v>58553.5</v>
      </c>
      <c r="H117" s="167">
        <f t="shared" si="30"/>
        <v>8261.527012199942</v>
      </c>
      <c r="I117" s="312">
        <f t="shared" si="31"/>
        <v>8261.527012199942</v>
      </c>
      <c r="J117" s="162">
        <f t="shared" si="18"/>
        <v>0</v>
      </c>
      <c r="K117" s="162"/>
      <c r="L117" s="330"/>
      <c r="M117" s="162">
        <f t="shared" si="20"/>
        <v>0</v>
      </c>
      <c r="N117" s="330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2029</v>
      </c>
      <c r="D118" s="158">
        <f>IF(F117+SUM(E$99:E117)=D$92,F117,D$92-SUM(E$99:E117))</f>
        <v>57430.5</v>
      </c>
      <c r="E118" s="165">
        <f>IF(+J96&lt;F117,J96,D118)</f>
        <v>2246</v>
      </c>
      <c r="F118" s="163">
        <f t="shared" si="28"/>
        <v>55184.5</v>
      </c>
      <c r="G118" s="163">
        <f t="shared" si="29"/>
        <v>56307.5</v>
      </c>
      <c r="H118" s="167">
        <f t="shared" si="30"/>
        <v>8030.7829291066837</v>
      </c>
      <c r="I118" s="312">
        <f t="shared" si="31"/>
        <v>8030.7829291066837</v>
      </c>
      <c r="J118" s="162">
        <f t="shared" si="18"/>
        <v>0</v>
      </c>
      <c r="K118" s="162"/>
      <c r="L118" s="330"/>
      <c r="M118" s="162">
        <f t="shared" si="20"/>
        <v>0</v>
      </c>
      <c r="N118" s="330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2030</v>
      </c>
      <c r="D119" s="158">
        <f>IF(F118+SUM(E$99:E118)=D$92,F118,D$92-SUM(E$99:E118))</f>
        <v>55184.5</v>
      </c>
      <c r="E119" s="165">
        <f>IF(+J96&lt;F118,J96,D119)</f>
        <v>2246</v>
      </c>
      <c r="F119" s="163">
        <f t="shared" si="28"/>
        <v>52938.5</v>
      </c>
      <c r="G119" s="163">
        <f t="shared" si="29"/>
        <v>54061.5</v>
      </c>
      <c r="H119" s="167">
        <f t="shared" si="30"/>
        <v>7800.0388460134263</v>
      </c>
      <c r="I119" s="312">
        <f t="shared" si="31"/>
        <v>7800.0388460134263</v>
      </c>
      <c r="J119" s="162">
        <f t="shared" si="18"/>
        <v>0</v>
      </c>
      <c r="K119" s="162"/>
      <c r="L119" s="330"/>
      <c r="M119" s="162">
        <f t="shared" si="20"/>
        <v>0</v>
      </c>
      <c r="N119" s="330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2031</v>
      </c>
      <c r="D120" s="158">
        <f>IF(F119+SUM(E$99:E119)=D$92,F119,D$92-SUM(E$99:E119))</f>
        <v>52938.5</v>
      </c>
      <c r="E120" s="165">
        <f>IF(+J96&lt;F119,J96,D120)</f>
        <v>2246</v>
      </c>
      <c r="F120" s="163">
        <f t="shared" si="28"/>
        <v>50692.5</v>
      </c>
      <c r="G120" s="163">
        <f t="shared" si="29"/>
        <v>51815.5</v>
      </c>
      <c r="H120" s="167">
        <f t="shared" si="30"/>
        <v>7569.294762920169</v>
      </c>
      <c r="I120" s="312">
        <f t="shared" si="31"/>
        <v>7569.294762920169</v>
      </c>
      <c r="J120" s="162">
        <f t="shared" si="18"/>
        <v>0</v>
      </c>
      <c r="K120" s="162"/>
      <c r="L120" s="330"/>
      <c r="M120" s="162">
        <f t="shared" si="20"/>
        <v>0</v>
      </c>
      <c r="N120" s="330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2032</v>
      </c>
      <c r="D121" s="158">
        <f>IF(F120+SUM(E$99:E120)=D$92,F120,D$92-SUM(E$99:E120))</f>
        <v>50692.5</v>
      </c>
      <c r="E121" s="165">
        <f>IF(+J96&lt;F120,J96,D121)</f>
        <v>2246</v>
      </c>
      <c r="F121" s="163">
        <f t="shared" si="28"/>
        <v>48446.5</v>
      </c>
      <c r="G121" s="163">
        <f t="shared" si="29"/>
        <v>49569.5</v>
      </c>
      <c r="H121" s="167">
        <f t="shared" si="30"/>
        <v>7338.5506798269107</v>
      </c>
      <c r="I121" s="312">
        <f t="shared" si="31"/>
        <v>7338.5506798269107</v>
      </c>
      <c r="J121" s="162">
        <f t="shared" si="18"/>
        <v>0</v>
      </c>
      <c r="K121" s="162"/>
      <c r="L121" s="330"/>
      <c r="M121" s="162">
        <f t="shared" si="20"/>
        <v>0</v>
      </c>
      <c r="N121" s="330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2033</v>
      </c>
      <c r="D122" s="158">
        <f>IF(F121+SUM(E$99:E121)=D$92,F121,D$92-SUM(E$99:E121))</f>
        <v>48446.5</v>
      </c>
      <c r="E122" s="165">
        <f>IF(+J96&lt;F121,J96,D122)</f>
        <v>2246</v>
      </c>
      <c r="F122" s="163">
        <f t="shared" si="28"/>
        <v>46200.5</v>
      </c>
      <c r="G122" s="163">
        <f t="shared" si="29"/>
        <v>47323.5</v>
      </c>
      <c r="H122" s="167">
        <f t="shared" si="30"/>
        <v>7107.8065967336534</v>
      </c>
      <c r="I122" s="312">
        <f t="shared" si="31"/>
        <v>7107.8065967336534</v>
      </c>
      <c r="J122" s="162">
        <f t="shared" si="18"/>
        <v>0</v>
      </c>
      <c r="K122" s="162"/>
      <c r="L122" s="330"/>
      <c r="M122" s="162">
        <f t="shared" si="20"/>
        <v>0</v>
      </c>
      <c r="N122" s="330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2034</v>
      </c>
      <c r="D123" s="158">
        <f>IF(F122+SUM(E$99:E122)=D$92,F122,D$92-SUM(E$99:E122))</f>
        <v>46200.5</v>
      </c>
      <c r="E123" s="165">
        <f>IF(+J96&lt;F122,J96,D123)</f>
        <v>2246</v>
      </c>
      <c r="F123" s="163">
        <f t="shared" si="28"/>
        <v>43954.5</v>
      </c>
      <c r="G123" s="163">
        <f t="shared" si="29"/>
        <v>45077.5</v>
      </c>
      <c r="H123" s="167">
        <f t="shared" si="30"/>
        <v>6877.0625136403951</v>
      </c>
      <c r="I123" s="312">
        <f t="shared" si="31"/>
        <v>6877.0625136403951</v>
      </c>
      <c r="J123" s="162">
        <f t="shared" si="18"/>
        <v>0</v>
      </c>
      <c r="K123" s="162"/>
      <c r="L123" s="330"/>
      <c r="M123" s="162">
        <f t="shared" si="20"/>
        <v>0</v>
      </c>
      <c r="N123" s="330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2035</v>
      </c>
      <c r="D124" s="158">
        <f>IF(F123+SUM(E$99:E123)=D$92,F123,D$92-SUM(E$99:E123))</f>
        <v>43954.5</v>
      </c>
      <c r="E124" s="165">
        <f>IF(+J96&lt;F123,J96,D124)</f>
        <v>2246</v>
      </c>
      <c r="F124" s="163">
        <f t="shared" si="28"/>
        <v>41708.5</v>
      </c>
      <c r="G124" s="163">
        <f t="shared" si="29"/>
        <v>42831.5</v>
      </c>
      <c r="H124" s="167">
        <f t="shared" si="30"/>
        <v>6646.3184305471377</v>
      </c>
      <c r="I124" s="312">
        <f t="shared" si="31"/>
        <v>6646.3184305471377</v>
      </c>
      <c r="J124" s="162">
        <f t="shared" si="18"/>
        <v>0</v>
      </c>
      <c r="K124" s="162"/>
      <c r="L124" s="330"/>
      <c r="M124" s="162">
        <f t="shared" si="20"/>
        <v>0</v>
      </c>
      <c r="N124" s="330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2036</v>
      </c>
      <c r="D125" s="158">
        <f>IF(F124+SUM(E$99:E124)=D$92,F124,D$92-SUM(E$99:E124))</f>
        <v>41708.5</v>
      </c>
      <c r="E125" s="165">
        <f>IF(+J96&lt;F124,J96,D125)</f>
        <v>2246</v>
      </c>
      <c r="F125" s="163">
        <f t="shared" si="28"/>
        <v>39462.5</v>
      </c>
      <c r="G125" s="163">
        <f t="shared" si="29"/>
        <v>40585.5</v>
      </c>
      <c r="H125" s="167">
        <f t="shared" si="30"/>
        <v>6415.5743474538795</v>
      </c>
      <c r="I125" s="312">
        <f t="shared" si="31"/>
        <v>6415.5743474538795</v>
      </c>
      <c r="J125" s="162">
        <f t="shared" si="18"/>
        <v>0</v>
      </c>
      <c r="K125" s="162"/>
      <c r="L125" s="330"/>
      <c r="M125" s="162">
        <f t="shared" si="20"/>
        <v>0</v>
      </c>
      <c r="N125" s="330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2037</v>
      </c>
      <c r="D126" s="158">
        <f>IF(F125+SUM(E$99:E125)=D$92,F125,D$92-SUM(E$99:E125))</f>
        <v>39462.5</v>
      </c>
      <c r="E126" s="165">
        <f>IF(+J96&lt;F125,J96,D126)</f>
        <v>2246</v>
      </c>
      <c r="F126" s="163">
        <f t="shared" si="28"/>
        <v>37216.5</v>
      </c>
      <c r="G126" s="163">
        <f t="shared" si="29"/>
        <v>38339.5</v>
      </c>
      <c r="H126" s="167">
        <f t="shared" si="30"/>
        <v>6184.8302643606221</v>
      </c>
      <c r="I126" s="312">
        <f t="shared" si="31"/>
        <v>6184.8302643606221</v>
      </c>
      <c r="J126" s="162">
        <f t="shared" si="18"/>
        <v>0</v>
      </c>
      <c r="K126" s="162"/>
      <c r="L126" s="330"/>
      <c r="M126" s="162">
        <f t="shared" si="20"/>
        <v>0</v>
      </c>
      <c r="N126" s="330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2038</v>
      </c>
      <c r="D127" s="158">
        <f>IF(F126+SUM(E$99:E126)=D$92,F126,D$92-SUM(E$99:E126))</f>
        <v>37216.5</v>
      </c>
      <c r="E127" s="165">
        <f>IF(+J96&lt;F126,J96,D127)</f>
        <v>2246</v>
      </c>
      <c r="F127" s="163">
        <f t="shared" si="28"/>
        <v>34970.5</v>
      </c>
      <c r="G127" s="163">
        <f t="shared" si="29"/>
        <v>36093.5</v>
      </c>
      <c r="H127" s="167">
        <f t="shared" si="30"/>
        <v>5954.0861812673647</v>
      </c>
      <c r="I127" s="312">
        <f t="shared" si="31"/>
        <v>5954.0861812673647</v>
      </c>
      <c r="J127" s="162">
        <f t="shared" si="18"/>
        <v>0</v>
      </c>
      <c r="K127" s="162"/>
      <c r="L127" s="330"/>
      <c r="M127" s="162">
        <f t="shared" si="20"/>
        <v>0</v>
      </c>
      <c r="N127" s="330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2039</v>
      </c>
      <c r="D128" s="158">
        <f>IF(F127+SUM(E$99:E127)=D$92,F127,D$92-SUM(E$99:E127))</f>
        <v>34970.5</v>
      </c>
      <c r="E128" s="165">
        <f>IF(+J96&lt;F127,J96,D128)</f>
        <v>2246</v>
      </c>
      <c r="F128" s="163">
        <f t="shared" si="28"/>
        <v>32724.5</v>
      </c>
      <c r="G128" s="163">
        <f t="shared" si="29"/>
        <v>33847.5</v>
      </c>
      <c r="H128" s="167">
        <f t="shared" si="30"/>
        <v>5723.3420981741065</v>
      </c>
      <c r="I128" s="312">
        <f t="shared" si="31"/>
        <v>5723.3420981741065</v>
      </c>
      <c r="J128" s="162">
        <f t="shared" si="18"/>
        <v>0</v>
      </c>
      <c r="K128" s="162"/>
      <c r="L128" s="330"/>
      <c r="M128" s="162">
        <f t="shared" si="20"/>
        <v>0</v>
      </c>
      <c r="N128" s="330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2040</v>
      </c>
      <c r="D129" s="158">
        <f>IF(F128+SUM(E$99:E128)=D$92,F128,D$92-SUM(E$99:E128))</f>
        <v>32724.5</v>
      </c>
      <c r="E129" s="165">
        <f>IF(+J96&lt;F128,J96,D129)</f>
        <v>2246</v>
      </c>
      <c r="F129" s="163">
        <f t="shared" si="28"/>
        <v>30478.5</v>
      </c>
      <c r="G129" s="163">
        <f t="shared" si="29"/>
        <v>31601.5</v>
      </c>
      <c r="H129" s="167">
        <f t="shared" si="30"/>
        <v>5492.5980150808482</v>
      </c>
      <c r="I129" s="312">
        <f t="shared" si="31"/>
        <v>5492.5980150808482</v>
      </c>
      <c r="J129" s="162">
        <f t="shared" si="18"/>
        <v>0</v>
      </c>
      <c r="K129" s="162"/>
      <c r="L129" s="330"/>
      <c r="M129" s="162">
        <f t="shared" si="20"/>
        <v>0</v>
      </c>
      <c r="N129" s="330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2041</v>
      </c>
      <c r="D130" s="158">
        <f>IF(F129+SUM(E$99:E129)=D$92,F129,D$92-SUM(E$99:E129))</f>
        <v>30478.5</v>
      </c>
      <c r="E130" s="165">
        <f>IF(+J96&lt;F129,J96,D130)</f>
        <v>2246</v>
      </c>
      <c r="F130" s="163">
        <f t="shared" ref="F130:F145" si="32">+D130-E130</f>
        <v>28232.5</v>
      </c>
      <c r="G130" s="163">
        <f t="shared" ref="G130:G145" si="33">+(F130+D130)/2</f>
        <v>29355.5</v>
      </c>
      <c r="H130" s="167">
        <f t="shared" si="30"/>
        <v>5261.8539319875908</v>
      </c>
      <c r="I130" s="312">
        <f t="shared" si="31"/>
        <v>5261.8539319875908</v>
      </c>
      <c r="J130" s="162">
        <f t="shared" si="18"/>
        <v>0</v>
      </c>
      <c r="K130" s="162"/>
      <c r="L130" s="330"/>
      <c r="M130" s="162">
        <f t="shared" si="20"/>
        <v>0</v>
      </c>
      <c r="N130" s="330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2042</v>
      </c>
      <c r="D131" s="158">
        <f>IF(F130+SUM(E$99:E130)=D$92,F130,D$92-SUM(E$99:E130))</f>
        <v>28232.5</v>
      </c>
      <c r="E131" s="165">
        <f>IF(+J96&lt;F130,J96,D131)</f>
        <v>2246</v>
      </c>
      <c r="F131" s="163">
        <f t="shared" si="32"/>
        <v>25986.5</v>
      </c>
      <c r="G131" s="163">
        <f t="shared" si="33"/>
        <v>27109.5</v>
      </c>
      <c r="H131" s="167">
        <f t="shared" ref="H131:H154" si="34">+J$94*G131+E131</f>
        <v>5031.1098488943335</v>
      </c>
      <c r="I131" s="312">
        <f t="shared" ref="I131:I154" si="35">+J$95*G131+E131</f>
        <v>5031.1098488943335</v>
      </c>
      <c r="J131" s="162">
        <f t="shared" ref="J131:J154" si="36">+I541-H541</f>
        <v>0</v>
      </c>
      <c r="K131" s="162"/>
      <c r="L131" s="330"/>
      <c r="M131" s="162">
        <f t="shared" ref="M131:M154" si="37">IF(L541&lt;&gt;0,+H541-L541,0)</f>
        <v>0</v>
      </c>
      <c r="N131" s="330"/>
      <c r="O131" s="162">
        <f t="shared" ref="O131:O154" si="38">IF(N541&lt;&gt;0,+I541-N541,0)</f>
        <v>0</v>
      </c>
      <c r="P131" s="162">
        <f t="shared" ref="P131:P154" si="39">+O541-M541</f>
        <v>0</v>
      </c>
    </row>
    <row r="132" spans="2:16">
      <c r="B132" s="9" t="str">
        <f t="shared" si="24"/>
        <v/>
      </c>
      <c r="C132" s="157">
        <f>IF(D93="","-",+C131+1)</f>
        <v>2043</v>
      </c>
      <c r="D132" s="158">
        <f>IF(F131+SUM(E$99:E131)=D$92,F131,D$92-SUM(E$99:E131))</f>
        <v>25986.5</v>
      </c>
      <c r="E132" s="165">
        <f>IF(+J96&lt;F131,J96,D132)</f>
        <v>2246</v>
      </c>
      <c r="F132" s="163">
        <f t="shared" si="32"/>
        <v>23740.5</v>
      </c>
      <c r="G132" s="163">
        <f t="shared" si="33"/>
        <v>24863.5</v>
      </c>
      <c r="H132" s="167">
        <f t="shared" si="34"/>
        <v>4800.3657658010752</v>
      </c>
      <c r="I132" s="312">
        <f t="shared" si="35"/>
        <v>4800.3657658010752</v>
      </c>
      <c r="J132" s="162">
        <f t="shared" si="36"/>
        <v>0</v>
      </c>
      <c r="K132" s="162"/>
      <c r="L132" s="330"/>
      <c r="M132" s="162">
        <f t="shared" si="37"/>
        <v>0</v>
      </c>
      <c r="N132" s="330"/>
      <c r="O132" s="162">
        <f t="shared" si="38"/>
        <v>0</v>
      </c>
      <c r="P132" s="162">
        <f t="shared" si="39"/>
        <v>0</v>
      </c>
    </row>
    <row r="133" spans="2:16">
      <c r="B133" s="9" t="str">
        <f t="shared" si="24"/>
        <v/>
      </c>
      <c r="C133" s="157">
        <f>IF(D93="","-",+C132+1)</f>
        <v>2044</v>
      </c>
      <c r="D133" s="158">
        <f>IF(F132+SUM(E$99:E132)=D$92,F132,D$92-SUM(E$99:E132))</f>
        <v>23740.5</v>
      </c>
      <c r="E133" s="165">
        <f>IF(+J96&lt;F132,J96,D133)</f>
        <v>2246</v>
      </c>
      <c r="F133" s="163">
        <f t="shared" si="32"/>
        <v>21494.5</v>
      </c>
      <c r="G133" s="163">
        <f t="shared" si="33"/>
        <v>22617.5</v>
      </c>
      <c r="H133" s="167">
        <f t="shared" si="34"/>
        <v>4569.6216827078169</v>
      </c>
      <c r="I133" s="312">
        <f t="shared" si="35"/>
        <v>4569.6216827078169</v>
      </c>
      <c r="J133" s="162">
        <f t="shared" si="36"/>
        <v>0</v>
      </c>
      <c r="K133" s="162"/>
      <c r="L133" s="330"/>
      <c r="M133" s="162">
        <f t="shared" si="37"/>
        <v>0</v>
      </c>
      <c r="N133" s="330"/>
      <c r="O133" s="162">
        <f t="shared" si="38"/>
        <v>0</v>
      </c>
      <c r="P133" s="162">
        <f t="shared" si="39"/>
        <v>0</v>
      </c>
    </row>
    <row r="134" spans="2:16">
      <c r="B134" s="9" t="str">
        <f t="shared" si="24"/>
        <v/>
      </c>
      <c r="C134" s="157">
        <f>IF(D93="","-",+C133+1)</f>
        <v>2045</v>
      </c>
      <c r="D134" s="158">
        <f>IF(F133+SUM(E$99:E133)=D$92,F133,D$92-SUM(E$99:E133))</f>
        <v>21494.5</v>
      </c>
      <c r="E134" s="165">
        <f>IF(+J96&lt;F133,J96,D134)</f>
        <v>2246</v>
      </c>
      <c r="F134" s="163">
        <f t="shared" si="32"/>
        <v>19248.5</v>
      </c>
      <c r="G134" s="163">
        <f t="shared" si="33"/>
        <v>20371.5</v>
      </c>
      <c r="H134" s="167">
        <f t="shared" si="34"/>
        <v>4338.8775996145596</v>
      </c>
      <c r="I134" s="312">
        <f t="shared" si="35"/>
        <v>4338.8775996145596</v>
      </c>
      <c r="J134" s="162">
        <f t="shared" si="36"/>
        <v>0</v>
      </c>
      <c r="K134" s="162"/>
      <c r="L134" s="330"/>
      <c r="M134" s="162">
        <f t="shared" si="37"/>
        <v>0</v>
      </c>
      <c r="N134" s="330"/>
      <c r="O134" s="162">
        <f t="shared" si="38"/>
        <v>0</v>
      </c>
      <c r="P134" s="162">
        <f t="shared" si="39"/>
        <v>0</v>
      </c>
    </row>
    <row r="135" spans="2:16">
      <c r="B135" s="9" t="str">
        <f t="shared" si="24"/>
        <v/>
      </c>
      <c r="C135" s="157">
        <f>IF(D93="","-",+C134+1)</f>
        <v>2046</v>
      </c>
      <c r="D135" s="158">
        <f>IF(F134+SUM(E$99:E134)=D$92,F134,D$92-SUM(E$99:E134))</f>
        <v>19248.5</v>
      </c>
      <c r="E135" s="165">
        <f>IF(+J96&lt;F134,J96,D135)</f>
        <v>2246</v>
      </c>
      <c r="F135" s="163">
        <f t="shared" si="32"/>
        <v>17002.5</v>
      </c>
      <c r="G135" s="163">
        <f t="shared" si="33"/>
        <v>18125.5</v>
      </c>
      <c r="H135" s="167">
        <f t="shared" si="34"/>
        <v>4108.1335165213022</v>
      </c>
      <c r="I135" s="312">
        <f t="shared" si="35"/>
        <v>4108.1335165213022</v>
      </c>
      <c r="J135" s="162">
        <f t="shared" si="36"/>
        <v>0</v>
      </c>
      <c r="K135" s="162"/>
      <c r="L135" s="330"/>
      <c r="M135" s="162">
        <f t="shared" si="37"/>
        <v>0</v>
      </c>
      <c r="N135" s="330"/>
      <c r="O135" s="162">
        <f t="shared" si="38"/>
        <v>0</v>
      </c>
      <c r="P135" s="162">
        <f t="shared" si="39"/>
        <v>0</v>
      </c>
    </row>
    <row r="136" spans="2:16">
      <c r="B136" s="9" t="str">
        <f t="shared" si="24"/>
        <v/>
      </c>
      <c r="C136" s="157">
        <f>IF(D93="","-",+C135+1)</f>
        <v>2047</v>
      </c>
      <c r="D136" s="158">
        <f>IF(F135+SUM(E$99:E135)=D$92,F135,D$92-SUM(E$99:E135))</f>
        <v>17002.5</v>
      </c>
      <c r="E136" s="165">
        <f>IF(+J96&lt;F135,J96,D136)</f>
        <v>2246</v>
      </c>
      <c r="F136" s="163">
        <f t="shared" si="32"/>
        <v>14756.5</v>
      </c>
      <c r="G136" s="163">
        <f t="shared" si="33"/>
        <v>15879.5</v>
      </c>
      <c r="H136" s="167">
        <f t="shared" si="34"/>
        <v>3877.389433428044</v>
      </c>
      <c r="I136" s="312">
        <f t="shared" si="35"/>
        <v>3877.389433428044</v>
      </c>
      <c r="J136" s="162">
        <f t="shared" si="36"/>
        <v>0</v>
      </c>
      <c r="K136" s="162"/>
      <c r="L136" s="330"/>
      <c r="M136" s="162">
        <f t="shared" si="37"/>
        <v>0</v>
      </c>
      <c r="N136" s="330"/>
      <c r="O136" s="162">
        <f t="shared" si="38"/>
        <v>0</v>
      </c>
      <c r="P136" s="162">
        <f t="shared" si="39"/>
        <v>0</v>
      </c>
    </row>
    <row r="137" spans="2:16">
      <c r="B137" s="9" t="str">
        <f t="shared" si="24"/>
        <v/>
      </c>
      <c r="C137" s="157">
        <f>IF(D93="","-",+C136+1)</f>
        <v>2048</v>
      </c>
      <c r="D137" s="158">
        <f>IF(F136+SUM(E$99:E136)=D$92,F136,D$92-SUM(E$99:E136))</f>
        <v>14756.5</v>
      </c>
      <c r="E137" s="165">
        <f>IF(+J96&lt;F136,J96,D137)</f>
        <v>2246</v>
      </c>
      <c r="F137" s="163">
        <f t="shared" si="32"/>
        <v>12510.5</v>
      </c>
      <c r="G137" s="163">
        <f t="shared" si="33"/>
        <v>13633.5</v>
      </c>
      <c r="H137" s="167">
        <f t="shared" si="34"/>
        <v>3646.6453503347866</v>
      </c>
      <c r="I137" s="312">
        <f t="shared" si="35"/>
        <v>3646.6453503347866</v>
      </c>
      <c r="J137" s="162">
        <f t="shared" si="36"/>
        <v>0</v>
      </c>
      <c r="K137" s="162"/>
      <c r="L137" s="330"/>
      <c r="M137" s="162">
        <f t="shared" si="37"/>
        <v>0</v>
      </c>
      <c r="N137" s="330"/>
      <c r="O137" s="162">
        <f t="shared" si="38"/>
        <v>0</v>
      </c>
      <c r="P137" s="162">
        <f t="shared" si="39"/>
        <v>0</v>
      </c>
    </row>
    <row r="138" spans="2:16">
      <c r="B138" s="9" t="str">
        <f t="shared" si="24"/>
        <v/>
      </c>
      <c r="C138" s="157">
        <f>IF(D93="","-",+C137+1)</f>
        <v>2049</v>
      </c>
      <c r="D138" s="158">
        <f>IF(F137+SUM(E$99:E137)=D$92,F137,D$92-SUM(E$99:E137))</f>
        <v>12510.5</v>
      </c>
      <c r="E138" s="165">
        <f>IF(+J96&lt;F137,J96,D138)</f>
        <v>2246</v>
      </c>
      <c r="F138" s="163">
        <f t="shared" si="32"/>
        <v>10264.5</v>
      </c>
      <c r="G138" s="163">
        <f t="shared" si="33"/>
        <v>11387.5</v>
      </c>
      <c r="H138" s="167">
        <f t="shared" si="34"/>
        <v>3415.9012672415283</v>
      </c>
      <c r="I138" s="312">
        <f t="shared" si="35"/>
        <v>3415.9012672415283</v>
      </c>
      <c r="J138" s="162">
        <f t="shared" si="36"/>
        <v>0</v>
      </c>
      <c r="K138" s="162"/>
      <c r="L138" s="330"/>
      <c r="M138" s="162">
        <f t="shared" si="37"/>
        <v>0</v>
      </c>
      <c r="N138" s="330"/>
      <c r="O138" s="162">
        <f t="shared" si="38"/>
        <v>0</v>
      </c>
      <c r="P138" s="162">
        <f t="shared" si="39"/>
        <v>0</v>
      </c>
    </row>
    <row r="139" spans="2:16">
      <c r="B139" s="9" t="str">
        <f t="shared" si="24"/>
        <v/>
      </c>
      <c r="C139" s="157">
        <f>IF(D93="","-",+C138+1)</f>
        <v>2050</v>
      </c>
      <c r="D139" s="158">
        <f>IF(F138+SUM(E$99:E138)=D$92,F138,D$92-SUM(E$99:E138))</f>
        <v>10264.5</v>
      </c>
      <c r="E139" s="165">
        <f>IF(+J96&lt;F138,J96,D139)</f>
        <v>2246</v>
      </c>
      <c r="F139" s="163">
        <f t="shared" si="32"/>
        <v>8018.5</v>
      </c>
      <c r="G139" s="163">
        <f t="shared" si="33"/>
        <v>9141.5</v>
      </c>
      <c r="H139" s="167">
        <f t="shared" si="34"/>
        <v>3185.157184148271</v>
      </c>
      <c r="I139" s="312">
        <f t="shared" si="35"/>
        <v>3185.157184148271</v>
      </c>
      <c r="J139" s="162">
        <f t="shared" si="36"/>
        <v>0</v>
      </c>
      <c r="K139" s="162"/>
      <c r="L139" s="330"/>
      <c r="M139" s="162">
        <f t="shared" si="37"/>
        <v>0</v>
      </c>
      <c r="N139" s="330"/>
      <c r="O139" s="162">
        <f t="shared" si="38"/>
        <v>0</v>
      </c>
      <c r="P139" s="162">
        <f t="shared" si="39"/>
        <v>0</v>
      </c>
    </row>
    <row r="140" spans="2:16">
      <c r="B140" s="9" t="str">
        <f t="shared" si="24"/>
        <v/>
      </c>
      <c r="C140" s="157">
        <f>IF(D93="","-",+C139+1)</f>
        <v>2051</v>
      </c>
      <c r="D140" s="158">
        <f>IF(F139+SUM(E$99:E139)=D$92,F139,D$92-SUM(E$99:E139))</f>
        <v>8018.5</v>
      </c>
      <c r="E140" s="165">
        <f>IF(+J96&lt;F139,J96,D140)</f>
        <v>2246</v>
      </c>
      <c r="F140" s="163">
        <f t="shared" si="32"/>
        <v>5772.5</v>
      </c>
      <c r="G140" s="163">
        <f t="shared" si="33"/>
        <v>6895.5</v>
      </c>
      <c r="H140" s="167">
        <f t="shared" si="34"/>
        <v>2954.4131010550127</v>
      </c>
      <c r="I140" s="312">
        <f t="shared" si="35"/>
        <v>2954.4131010550127</v>
      </c>
      <c r="J140" s="162">
        <f t="shared" si="36"/>
        <v>0</v>
      </c>
      <c r="K140" s="162"/>
      <c r="L140" s="330"/>
      <c r="M140" s="162">
        <f t="shared" si="37"/>
        <v>0</v>
      </c>
      <c r="N140" s="330"/>
      <c r="O140" s="162">
        <f t="shared" si="38"/>
        <v>0</v>
      </c>
      <c r="P140" s="162">
        <f t="shared" si="39"/>
        <v>0</v>
      </c>
    </row>
    <row r="141" spans="2:16">
      <c r="B141" s="9" t="str">
        <f t="shared" si="24"/>
        <v/>
      </c>
      <c r="C141" s="157">
        <f>IF(D93="","-",+C140+1)</f>
        <v>2052</v>
      </c>
      <c r="D141" s="158">
        <f>IF(F140+SUM(E$99:E140)=D$92,F140,D$92-SUM(E$99:E140))</f>
        <v>5772.5</v>
      </c>
      <c r="E141" s="165">
        <f>IF(+J96&lt;F140,J96,D141)</f>
        <v>2246</v>
      </c>
      <c r="F141" s="163">
        <f t="shared" si="32"/>
        <v>3526.5</v>
      </c>
      <c r="G141" s="163">
        <f t="shared" si="33"/>
        <v>4649.5</v>
      </c>
      <c r="H141" s="167">
        <f t="shared" si="34"/>
        <v>2723.6690179617553</v>
      </c>
      <c r="I141" s="312">
        <f t="shared" si="35"/>
        <v>2723.6690179617553</v>
      </c>
      <c r="J141" s="162">
        <f t="shared" si="36"/>
        <v>0</v>
      </c>
      <c r="K141" s="162"/>
      <c r="L141" s="330"/>
      <c r="M141" s="162">
        <f t="shared" si="37"/>
        <v>0</v>
      </c>
      <c r="N141" s="330"/>
      <c r="O141" s="162">
        <f t="shared" si="38"/>
        <v>0</v>
      </c>
      <c r="P141" s="162">
        <f t="shared" si="39"/>
        <v>0</v>
      </c>
    </row>
    <row r="142" spans="2:16">
      <c r="B142" s="9" t="str">
        <f t="shared" si="24"/>
        <v/>
      </c>
      <c r="C142" s="157">
        <f>IF(D93="","-",+C141+1)</f>
        <v>2053</v>
      </c>
      <c r="D142" s="158">
        <f>IF(F141+SUM(E$99:E141)=D$92,F141,D$92-SUM(E$99:E141))</f>
        <v>3526.5</v>
      </c>
      <c r="E142" s="165">
        <f>IF(+J96&lt;F141,J96,D142)</f>
        <v>2246</v>
      </c>
      <c r="F142" s="163">
        <f t="shared" si="32"/>
        <v>1280.5</v>
      </c>
      <c r="G142" s="163">
        <f t="shared" si="33"/>
        <v>2403.5</v>
      </c>
      <c r="H142" s="167">
        <f t="shared" si="34"/>
        <v>2492.9249348684975</v>
      </c>
      <c r="I142" s="312">
        <f t="shared" si="35"/>
        <v>2492.9249348684975</v>
      </c>
      <c r="J142" s="162">
        <f t="shared" si="36"/>
        <v>0</v>
      </c>
      <c r="K142" s="162"/>
      <c r="L142" s="330"/>
      <c r="M142" s="162">
        <f t="shared" si="37"/>
        <v>0</v>
      </c>
      <c r="N142" s="330"/>
      <c r="O142" s="162">
        <f t="shared" si="38"/>
        <v>0</v>
      </c>
      <c r="P142" s="162">
        <f t="shared" si="39"/>
        <v>0</v>
      </c>
    </row>
    <row r="143" spans="2:16">
      <c r="B143" s="9" t="str">
        <f t="shared" si="24"/>
        <v/>
      </c>
      <c r="C143" s="157">
        <f>IF(D93="","-",+C142+1)</f>
        <v>2054</v>
      </c>
      <c r="D143" s="158">
        <f>IF(F142+SUM(E$99:E142)=D$92,F142,D$92-SUM(E$99:E142))</f>
        <v>1280.5</v>
      </c>
      <c r="E143" s="165">
        <f>IF(+J96&lt;F142,J96,D143)</f>
        <v>1280.5</v>
      </c>
      <c r="F143" s="163">
        <f t="shared" si="32"/>
        <v>0</v>
      </c>
      <c r="G143" s="163">
        <f t="shared" si="33"/>
        <v>640.25</v>
      </c>
      <c r="H143" s="167">
        <f t="shared" si="34"/>
        <v>1346.2764466609342</v>
      </c>
      <c r="I143" s="312">
        <f t="shared" si="35"/>
        <v>1346.2764466609342</v>
      </c>
      <c r="J143" s="162">
        <f t="shared" si="36"/>
        <v>0</v>
      </c>
      <c r="K143" s="162"/>
      <c r="L143" s="330"/>
      <c r="M143" s="162">
        <f t="shared" si="37"/>
        <v>0</v>
      </c>
      <c r="N143" s="330"/>
      <c r="O143" s="162">
        <f t="shared" si="38"/>
        <v>0</v>
      </c>
      <c r="P143" s="162">
        <f t="shared" si="39"/>
        <v>0</v>
      </c>
    </row>
    <row r="144" spans="2:16">
      <c r="B144" s="9" t="str">
        <f t="shared" si="24"/>
        <v/>
      </c>
      <c r="C144" s="157">
        <f>IF(D93="","-",+C143+1)</f>
        <v>2055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2"/>
        <v>0</v>
      </c>
      <c r="G144" s="163">
        <f t="shared" si="33"/>
        <v>0</v>
      </c>
      <c r="H144" s="167">
        <f t="shared" si="34"/>
        <v>0</v>
      </c>
      <c r="I144" s="312">
        <f t="shared" si="35"/>
        <v>0</v>
      </c>
      <c r="J144" s="162">
        <f t="shared" si="36"/>
        <v>0</v>
      </c>
      <c r="K144" s="162"/>
      <c r="L144" s="330"/>
      <c r="M144" s="162">
        <f t="shared" si="37"/>
        <v>0</v>
      </c>
      <c r="N144" s="330"/>
      <c r="O144" s="162">
        <f t="shared" si="38"/>
        <v>0</v>
      </c>
      <c r="P144" s="162">
        <f t="shared" si="39"/>
        <v>0</v>
      </c>
    </row>
    <row r="145" spans="2:16">
      <c r="B145" s="9" t="str">
        <f t="shared" si="24"/>
        <v/>
      </c>
      <c r="C145" s="157">
        <f>IF(D93="","-",+C144+1)</f>
        <v>2056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2"/>
        <v>0</v>
      </c>
      <c r="G145" s="163">
        <f t="shared" si="33"/>
        <v>0</v>
      </c>
      <c r="H145" s="167">
        <f t="shared" si="34"/>
        <v>0</v>
      </c>
      <c r="I145" s="312">
        <f t="shared" si="35"/>
        <v>0</v>
      </c>
      <c r="J145" s="162">
        <f t="shared" si="36"/>
        <v>0</v>
      </c>
      <c r="K145" s="162"/>
      <c r="L145" s="330"/>
      <c r="M145" s="162">
        <f t="shared" si="37"/>
        <v>0</v>
      </c>
      <c r="N145" s="330"/>
      <c r="O145" s="162">
        <f t="shared" si="38"/>
        <v>0</v>
      </c>
      <c r="P145" s="162">
        <f t="shared" si="39"/>
        <v>0</v>
      </c>
    </row>
    <row r="146" spans="2:16">
      <c r="B146" s="9" t="str">
        <f t="shared" si="24"/>
        <v/>
      </c>
      <c r="C146" s="157">
        <f>IF(D93="","-",+C145+1)</f>
        <v>2057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ref="F146:F154" si="40">+D146-E146</f>
        <v>0</v>
      </c>
      <c r="G146" s="163">
        <f t="shared" ref="G146:G154" si="41">+(F146+D146)/2</f>
        <v>0</v>
      </c>
      <c r="H146" s="167">
        <f t="shared" si="34"/>
        <v>0</v>
      </c>
      <c r="I146" s="312">
        <f t="shared" si="35"/>
        <v>0</v>
      </c>
      <c r="J146" s="162">
        <f t="shared" si="36"/>
        <v>0</v>
      </c>
      <c r="K146" s="162"/>
      <c r="L146" s="330"/>
      <c r="M146" s="162">
        <f t="shared" si="37"/>
        <v>0</v>
      </c>
      <c r="N146" s="330"/>
      <c r="O146" s="162">
        <f t="shared" si="38"/>
        <v>0</v>
      </c>
      <c r="P146" s="162">
        <f t="shared" si="39"/>
        <v>0</v>
      </c>
    </row>
    <row r="147" spans="2:16">
      <c r="B147" s="9" t="str">
        <f t="shared" si="24"/>
        <v/>
      </c>
      <c r="C147" s="157">
        <f>IF(D93="","-",+C146+1)</f>
        <v>2058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40"/>
        <v>0</v>
      </c>
      <c r="G147" s="163">
        <f t="shared" si="41"/>
        <v>0</v>
      </c>
      <c r="H147" s="167">
        <f t="shared" si="34"/>
        <v>0</v>
      </c>
      <c r="I147" s="312">
        <f t="shared" si="35"/>
        <v>0</v>
      </c>
      <c r="J147" s="162">
        <f t="shared" si="36"/>
        <v>0</v>
      </c>
      <c r="K147" s="162"/>
      <c r="L147" s="330"/>
      <c r="M147" s="162">
        <f t="shared" si="37"/>
        <v>0</v>
      </c>
      <c r="N147" s="330"/>
      <c r="O147" s="162">
        <f t="shared" si="38"/>
        <v>0</v>
      </c>
      <c r="P147" s="162">
        <f t="shared" si="39"/>
        <v>0</v>
      </c>
    </row>
    <row r="148" spans="2:16">
      <c r="B148" s="9" t="str">
        <f t="shared" si="24"/>
        <v/>
      </c>
      <c r="C148" s="157">
        <f>IF(D93="","-",+C147+1)</f>
        <v>2059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40"/>
        <v>0</v>
      </c>
      <c r="G148" s="163">
        <f t="shared" si="41"/>
        <v>0</v>
      </c>
      <c r="H148" s="167">
        <f t="shared" si="34"/>
        <v>0</v>
      </c>
      <c r="I148" s="312">
        <f t="shared" si="35"/>
        <v>0</v>
      </c>
      <c r="J148" s="162">
        <f t="shared" si="36"/>
        <v>0</v>
      </c>
      <c r="K148" s="162"/>
      <c r="L148" s="330"/>
      <c r="M148" s="162">
        <f t="shared" si="37"/>
        <v>0</v>
      </c>
      <c r="N148" s="330"/>
      <c r="O148" s="162">
        <f t="shared" si="38"/>
        <v>0</v>
      </c>
      <c r="P148" s="162">
        <f t="shared" si="39"/>
        <v>0</v>
      </c>
    </row>
    <row r="149" spans="2:16">
      <c r="B149" s="9" t="str">
        <f t="shared" si="24"/>
        <v/>
      </c>
      <c r="C149" s="157">
        <f>IF(D93="","-",+C148+1)</f>
        <v>2060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40"/>
        <v>0</v>
      </c>
      <c r="G149" s="163">
        <f t="shared" si="41"/>
        <v>0</v>
      </c>
      <c r="H149" s="167">
        <f t="shared" si="34"/>
        <v>0</v>
      </c>
      <c r="I149" s="312">
        <f t="shared" si="35"/>
        <v>0</v>
      </c>
      <c r="J149" s="162">
        <f t="shared" si="36"/>
        <v>0</v>
      </c>
      <c r="K149" s="162"/>
      <c r="L149" s="330"/>
      <c r="M149" s="162">
        <f t="shared" si="37"/>
        <v>0</v>
      </c>
      <c r="N149" s="330"/>
      <c r="O149" s="162">
        <f t="shared" si="38"/>
        <v>0</v>
      </c>
      <c r="P149" s="162">
        <f t="shared" si="39"/>
        <v>0</v>
      </c>
    </row>
    <row r="150" spans="2:16">
      <c r="B150" s="9" t="str">
        <f t="shared" si="24"/>
        <v/>
      </c>
      <c r="C150" s="157">
        <f>IF(D93="","-",+C149+1)</f>
        <v>2061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40"/>
        <v>0</v>
      </c>
      <c r="G150" s="163">
        <f t="shared" si="41"/>
        <v>0</v>
      </c>
      <c r="H150" s="167">
        <f t="shared" si="34"/>
        <v>0</v>
      </c>
      <c r="I150" s="312">
        <f t="shared" si="35"/>
        <v>0</v>
      </c>
      <c r="J150" s="162">
        <f t="shared" si="36"/>
        <v>0</v>
      </c>
      <c r="K150" s="162"/>
      <c r="L150" s="330"/>
      <c r="M150" s="162">
        <f t="shared" si="37"/>
        <v>0</v>
      </c>
      <c r="N150" s="330"/>
      <c r="O150" s="162">
        <f t="shared" si="38"/>
        <v>0</v>
      </c>
      <c r="P150" s="162">
        <f t="shared" si="39"/>
        <v>0</v>
      </c>
    </row>
    <row r="151" spans="2:16">
      <c r="B151" s="9" t="str">
        <f t="shared" si="24"/>
        <v/>
      </c>
      <c r="C151" s="157">
        <f>IF(D93="","-",+C150+1)</f>
        <v>2062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40"/>
        <v>0</v>
      </c>
      <c r="G151" s="163">
        <f t="shared" si="41"/>
        <v>0</v>
      </c>
      <c r="H151" s="167">
        <f t="shared" si="34"/>
        <v>0</v>
      </c>
      <c r="I151" s="312">
        <f t="shared" si="35"/>
        <v>0</v>
      </c>
      <c r="J151" s="162">
        <f t="shared" si="36"/>
        <v>0</v>
      </c>
      <c r="K151" s="162"/>
      <c r="L151" s="330"/>
      <c r="M151" s="162">
        <f t="shared" si="37"/>
        <v>0</v>
      </c>
      <c r="N151" s="330"/>
      <c r="O151" s="162">
        <f t="shared" si="38"/>
        <v>0</v>
      </c>
      <c r="P151" s="162">
        <f t="shared" si="39"/>
        <v>0</v>
      </c>
    </row>
    <row r="152" spans="2:16">
      <c r="B152" s="9" t="str">
        <f t="shared" si="24"/>
        <v/>
      </c>
      <c r="C152" s="157">
        <f>IF(D93="","-",+C151+1)</f>
        <v>2063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40"/>
        <v>0</v>
      </c>
      <c r="G152" s="163">
        <f t="shared" si="41"/>
        <v>0</v>
      </c>
      <c r="H152" s="167">
        <f t="shared" si="34"/>
        <v>0</v>
      </c>
      <c r="I152" s="312">
        <f t="shared" si="35"/>
        <v>0</v>
      </c>
      <c r="J152" s="162">
        <f t="shared" si="36"/>
        <v>0</v>
      </c>
      <c r="K152" s="162"/>
      <c r="L152" s="330"/>
      <c r="M152" s="162">
        <f t="shared" si="37"/>
        <v>0</v>
      </c>
      <c r="N152" s="330"/>
      <c r="O152" s="162">
        <f t="shared" si="38"/>
        <v>0</v>
      </c>
      <c r="P152" s="162">
        <f t="shared" si="39"/>
        <v>0</v>
      </c>
    </row>
    <row r="153" spans="2:16">
      <c r="B153" s="9" t="str">
        <f t="shared" si="24"/>
        <v/>
      </c>
      <c r="C153" s="157">
        <f>IF(D93="","-",+C152+1)</f>
        <v>2064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40"/>
        <v>0</v>
      </c>
      <c r="G153" s="163">
        <f t="shared" si="41"/>
        <v>0</v>
      </c>
      <c r="H153" s="167">
        <f t="shared" si="34"/>
        <v>0</v>
      </c>
      <c r="I153" s="312">
        <f t="shared" si="35"/>
        <v>0</v>
      </c>
      <c r="J153" s="162">
        <f t="shared" si="36"/>
        <v>0</v>
      </c>
      <c r="K153" s="162"/>
      <c r="L153" s="330"/>
      <c r="M153" s="162">
        <f t="shared" si="37"/>
        <v>0</v>
      </c>
      <c r="N153" s="330"/>
      <c r="O153" s="162">
        <f t="shared" si="38"/>
        <v>0</v>
      </c>
      <c r="P153" s="162">
        <f t="shared" si="39"/>
        <v>0</v>
      </c>
    </row>
    <row r="154" spans="2:16" ht="13.5" thickBot="1">
      <c r="B154" s="9" t="str">
        <f t="shared" si="24"/>
        <v/>
      </c>
      <c r="C154" s="168">
        <f>IF(D93="","-",+C153+1)</f>
        <v>2065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40"/>
        <v>0</v>
      </c>
      <c r="G154" s="169">
        <f t="shared" si="41"/>
        <v>0</v>
      </c>
      <c r="H154" s="171">
        <f t="shared" si="34"/>
        <v>0</v>
      </c>
      <c r="I154" s="313">
        <f t="shared" si="35"/>
        <v>0</v>
      </c>
      <c r="J154" s="173">
        <f t="shared" si="36"/>
        <v>0</v>
      </c>
      <c r="K154" s="162"/>
      <c r="L154" s="331"/>
      <c r="M154" s="173">
        <f t="shared" si="37"/>
        <v>0</v>
      </c>
      <c r="N154" s="331"/>
      <c r="O154" s="173">
        <f t="shared" si="38"/>
        <v>0</v>
      </c>
      <c r="P154" s="173">
        <f t="shared" si="39"/>
        <v>0</v>
      </c>
    </row>
    <row r="155" spans="2:16">
      <c r="C155" s="158" t="s">
        <v>77</v>
      </c>
      <c r="D155" s="115"/>
      <c r="E155" s="115">
        <f>SUM(E99:E154)</f>
        <v>96566</v>
      </c>
      <c r="F155" s="115"/>
      <c r="G155" s="115"/>
      <c r="H155" s="115">
        <f>SUM(H99:H154)</f>
        <v>344250.50440138241</v>
      </c>
      <c r="I155" s="115">
        <f>SUM(I99:I154)</f>
        <v>344250.50440138241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view="pageBreakPreview" zoomScale="75" zoomScaleNormal="100" workbookViewId="0">
      <selection activeCell="D24" sqref="D24:H24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3" width="17.7109375" customWidth="1"/>
    <col min="14" max="14" width="16.7109375" customWidth="1"/>
    <col min="15" max="15" width="18.4257812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11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6.5" thickBot="1">
      <c r="C4" s="409" t="s">
        <v>263</v>
      </c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192128.21377777777</v>
      </c>
      <c r="P5" s="1"/>
    </row>
    <row r="6" spans="1:16" ht="15.75">
      <c r="C6" s="408" t="s">
        <v>264</v>
      </c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192128.21377777777</v>
      </c>
      <c r="O6" s="1"/>
      <c r="P6" s="1"/>
    </row>
    <row r="7" spans="1:16" ht="13.5" thickBot="1">
      <c r="C7" s="127" t="s">
        <v>46</v>
      </c>
      <c r="D7" s="338" t="s">
        <v>229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5.75" thickBot="1">
      <c r="C8" s="407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377" t="s">
        <v>228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f>1493723*94%</f>
        <v>1404099.6199999999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2011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31202.213777777775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2011</v>
      </c>
      <c r="D17" s="361">
        <v>1624000</v>
      </c>
      <c r="E17" s="362">
        <v>15921.568627450981</v>
      </c>
      <c r="F17" s="361">
        <v>1608078.4313725489</v>
      </c>
      <c r="G17" s="362">
        <v>267655.54041850357</v>
      </c>
      <c r="H17" s="365">
        <v>267655.54041850357</v>
      </c>
      <c r="I17" s="160">
        <f>H17-G17</f>
        <v>0</v>
      </c>
      <c r="J17" s="160"/>
      <c r="K17" s="332">
        <f t="shared" ref="K17:K22" si="0">G17</f>
        <v>267655.54041850357</v>
      </c>
      <c r="L17" s="176">
        <f t="shared" ref="L17:L48" si="1">IF(K17&lt;&gt;0,+G17-K17,0)</f>
        <v>0</v>
      </c>
      <c r="M17" s="332">
        <f t="shared" ref="M17:M22" si="2">H17</f>
        <v>267655.54041850357</v>
      </c>
      <c r="N17" s="161">
        <f t="shared" ref="N17:N48" si="3">IF(M17&lt;&gt;0,+H17-M17,0)</f>
        <v>0</v>
      </c>
      <c r="O17" s="162">
        <f t="shared" ref="O17:O48" si="4">+N17-L17</f>
        <v>0</v>
      </c>
      <c r="P17" s="4"/>
    </row>
    <row r="18" spans="2:16">
      <c r="B18" s="9" t="str">
        <f t="shared" ref="B18:B49" si="5">IF(D18=F17,"","IU")</f>
        <v>IU</v>
      </c>
      <c r="C18" s="157">
        <f>IF(D11="","-",+C17+1)</f>
        <v>2012</v>
      </c>
      <c r="D18" s="366">
        <v>1420815.4313725489</v>
      </c>
      <c r="E18" s="363">
        <v>27629.557692307691</v>
      </c>
      <c r="F18" s="366">
        <v>1393185.8736802412</v>
      </c>
      <c r="G18" s="363">
        <v>221570.55769230769</v>
      </c>
      <c r="H18" s="365">
        <v>221570.55769230769</v>
      </c>
      <c r="I18" s="160">
        <f t="shared" ref="I18:I48" si="6">H18-G18</f>
        <v>0</v>
      </c>
      <c r="J18" s="160"/>
      <c r="K18" s="333">
        <f t="shared" si="0"/>
        <v>221570.55769230769</v>
      </c>
      <c r="L18" s="269">
        <f t="shared" si="1"/>
        <v>0</v>
      </c>
      <c r="M18" s="333">
        <f t="shared" si="2"/>
        <v>221570.55769230769</v>
      </c>
      <c r="N18" s="162">
        <f t="shared" si="3"/>
        <v>0</v>
      </c>
      <c r="O18" s="162">
        <f t="shared" si="4"/>
        <v>0</v>
      </c>
      <c r="P18" s="4"/>
    </row>
    <row r="19" spans="2:16">
      <c r="B19" s="9" t="str">
        <f t="shared" si="5"/>
        <v>IU</v>
      </c>
      <c r="C19" s="157">
        <f>IF(D11="","-",+C18+1)</f>
        <v>2013</v>
      </c>
      <c r="D19" s="366">
        <v>1450171.8736802414</v>
      </c>
      <c r="E19" s="363">
        <v>28725.442307692309</v>
      </c>
      <c r="F19" s="366">
        <v>1421446.4313725492</v>
      </c>
      <c r="G19" s="363">
        <v>231717.44230769231</v>
      </c>
      <c r="H19" s="365">
        <v>231717.44230769231</v>
      </c>
      <c r="I19" s="160">
        <v>0</v>
      </c>
      <c r="J19" s="160"/>
      <c r="K19" s="333">
        <f t="shared" si="0"/>
        <v>231717.44230769231</v>
      </c>
      <c r="L19" s="269">
        <f t="shared" ref="L19:L24" si="7">IF(K19&lt;&gt;0,+G19-K19,0)</f>
        <v>0</v>
      </c>
      <c r="M19" s="333">
        <f t="shared" si="2"/>
        <v>231717.44230769231</v>
      </c>
      <c r="N19" s="162">
        <f t="shared" ref="N19:N24" si="8">IF(M19&lt;&gt;0,+H19-M19,0)</f>
        <v>0</v>
      </c>
      <c r="O19" s="162">
        <f t="shared" ref="O19:O24" si="9">+N19-L19</f>
        <v>0</v>
      </c>
      <c r="P19" s="4"/>
    </row>
    <row r="20" spans="2:16">
      <c r="B20" s="9" t="str">
        <f t="shared" si="5"/>
        <v>IU</v>
      </c>
      <c r="C20" s="157">
        <f>IF(D11="","-",+C19+1)</f>
        <v>2014</v>
      </c>
      <c r="D20" s="366">
        <v>1331823.0513725488</v>
      </c>
      <c r="E20" s="363">
        <v>27001.915769230767</v>
      </c>
      <c r="F20" s="366">
        <v>1304821.135603318</v>
      </c>
      <c r="G20" s="363">
        <v>206621.91576923078</v>
      </c>
      <c r="H20" s="365">
        <v>206621.91576923078</v>
      </c>
      <c r="I20" s="160">
        <v>0</v>
      </c>
      <c r="J20" s="160"/>
      <c r="K20" s="333">
        <f t="shared" si="0"/>
        <v>206621.91576923078</v>
      </c>
      <c r="L20" s="269">
        <f t="shared" si="7"/>
        <v>0</v>
      </c>
      <c r="M20" s="333">
        <f t="shared" si="2"/>
        <v>206621.91576923078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5"/>
        <v/>
      </c>
      <c r="C21" s="157">
        <f>IF(D11="","-",+C20+1)</f>
        <v>2015</v>
      </c>
      <c r="D21" s="366">
        <v>1304821.135603318</v>
      </c>
      <c r="E21" s="363">
        <v>27001.915769230767</v>
      </c>
      <c r="F21" s="366">
        <v>1277819.2198340872</v>
      </c>
      <c r="G21" s="363">
        <v>203176.91576923078</v>
      </c>
      <c r="H21" s="365">
        <v>203176.91576923078</v>
      </c>
      <c r="I21" s="160">
        <v>0</v>
      </c>
      <c r="J21" s="160"/>
      <c r="K21" s="333">
        <f t="shared" si="0"/>
        <v>203176.91576923078</v>
      </c>
      <c r="L21" s="269">
        <f t="shared" si="7"/>
        <v>0</v>
      </c>
      <c r="M21" s="333">
        <f t="shared" si="2"/>
        <v>203176.91576923078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5"/>
        <v/>
      </c>
      <c r="C22" s="157">
        <f>IF(D11="","-",+C21+1)</f>
        <v>2016</v>
      </c>
      <c r="D22" s="366">
        <v>1277819.2198340872</v>
      </c>
      <c r="E22" s="363">
        <v>27001.915769230767</v>
      </c>
      <c r="F22" s="366">
        <v>1250817.3040648564</v>
      </c>
      <c r="G22" s="363">
        <v>191058.91576923078</v>
      </c>
      <c r="H22" s="365">
        <v>191058.91576923078</v>
      </c>
      <c r="I22" s="160">
        <f t="shared" si="6"/>
        <v>0</v>
      </c>
      <c r="J22" s="160"/>
      <c r="K22" s="333">
        <f t="shared" si="0"/>
        <v>191058.91576923078</v>
      </c>
      <c r="L22" s="269">
        <f t="shared" si="7"/>
        <v>0</v>
      </c>
      <c r="M22" s="333">
        <f t="shared" si="2"/>
        <v>191058.91576923078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5"/>
        <v/>
      </c>
      <c r="C23" s="157">
        <f>IF(D11="","-",+C22+1)</f>
        <v>2017</v>
      </c>
      <c r="D23" s="366">
        <v>1250817.3040648564</v>
      </c>
      <c r="E23" s="363">
        <v>30523.904782608693</v>
      </c>
      <c r="F23" s="366">
        <v>1220293.3992822478</v>
      </c>
      <c r="G23" s="363">
        <v>185818.9047826087</v>
      </c>
      <c r="H23" s="365">
        <v>185818.9047826087</v>
      </c>
      <c r="I23" s="160">
        <f t="shared" si="6"/>
        <v>0</v>
      </c>
      <c r="J23" s="160"/>
      <c r="K23" s="333">
        <f>G23</f>
        <v>185818.9047826087</v>
      </c>
      <c r="L23" s="269">
        <f t="shared" si="7"/>
        <v>0</v>
      </c>
      <c r="M23" s="333">
        <f>H23</f>
        <v>185818.9047826087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5"/>
        <v/>
      </c>
      <c r="C24" s="157">
        <f>IF(D11="","-",+C23+1)</f>
        <v>2018</v>
      </c>
      <c r="D24" s="366">
        <v>1220293.3992822478</v>
      </c>
      <c r="E24" s="363">
        <v>31202.213777777775</v>
      </c>
      <c r="F24" s="366">
        <v>1189091.18550447</v>
      </c>
      <c r="G24" s="363">
        <v>192128.21377777777</v>
      </c>
      <c r="H24" s="365">
        <v>192128.21377777777</v>
      </c>
      <c r="I24" s="160">
        <f t="shared" si="6"/>
        <v>0</v>
      </c>
      <c r="J24" s="160"/>
      <c r="K24" s="333">
        <f>G24</f>
        <v>192128.21377777777</v>
      </c>
      <c r="L24" s="269">
        <f t="shared" si="7"/>
        <v>0</v>
      </c>
      <c r="M24" s="333">
        <f>H24</f>
        <v>192128.21377777777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5"/>
        <v/>
      </c>
      <c r="C25" s="157">
        <f>IF(D11="","-",+C24+1)</f>
        <v>2019</v>
      </c>
      <c r="D25" s="163">
        <f>IF(F24+SUM(E$17:E24)=D$10,F24,D$10-SUM(E$17:E24))</f>
        <v>1189091.18550447</v>
      </c>
      <c r="E25" s="164">
        <f>IF(+I14&lt;F24,I14,D25)</f>
        <v>31202.213777777775</v>
      </c>
      <c r="F25" s="163">
        <f t="shared" ref="F25:F49" si="10">+D25-E25</f>
        <v>1157888.9717266923</v>
      </c>
      <c r="G25" s="165">
        <f t="shared" ref="G25:G49" si="11">ROUND(I$12*F25,0)+E25</f>
        <v>187905.21377777777</v>
      </c>
      <c r="H25" s="147">
        <f t="shared" ref="H25:H49" si="12">ROUND(I$13*F25,0)+E25</f>
        <v>187905.21377777777</v>
      </c>
      <c r="I25" s="160">
        <f t="shared" si="6"/>
        <v>0</v>
      </c>
      <c r="J25" s="160"/>
      <c r="K25" s="330"/>
      <c r="L25" s="162">
        <f t="shared" si="1"/>
        <v>0</v>
      </c>
      <c r="M25" s="330"/>
      <c r="N25" s="162">
        <f t="shared" si="3"/>
        <v>0</v>
      </c>
      <c r="O25" s="162">
        <f t="shared" si="4"/>
        <v>0</v>
      </c>
      <c r="P25" s="4"/>
    </row>
    <row r="26" spans="2:16">
      <c r="B26" s="9" t="str">
        <f t="shared" si="5"/>
        <v/>
      </c>
      <c r="C26" s="157">
        <f>IF(D11="","-",+C25+1)</f>
        <v>2020</v>
      </c>
      <c r="D26" s="163">
        <f>IF(F25+SUM(E$17:E25)=D$10,F25,D$10-SUM(E$17:E25))</f>
        <v>1157888.9717266923</v>
      </c>
      <c r="E26" s="164">
        <f>IF(+I14&lt;F25,I14,D26)</f>
        <v>31202.213777777775</v>
      </c>
      <c r="F26" s="163">
        <f t="shared" si="10"/>
        <v>1126686.7579489145</v>
      </c>
      <c r="G26" s="165">
        <f t="shared" si="11"/>
        <v>183683.21377777777</v>
      </c>
      <c r="H26" s="147">
        <f t="shared" si="12"/>
        <v>183683.21377777777</v>
      </c>
      <c r="I26" s="160">
        <f t="shared" si="6"/>
        <v>0</v>
      </c>
      <c r="J26" s="160"/>
      <c r="K26" s="330"/>
      <c r="L26" s="162">
        <f t="shared" si="1"/>
        <v>0</v>
      </c>
      <c r="M26" s="330"/>
      <c r="N26" s="162">
        <f t="shared" si="3"/>
        <v>0</v>
      </c>
      <c r="O26" s="162">
        <f t="shared" si="4"/>
        <v>0</v>
      </c>
      <c r="P26" s="4"/>
    </row>
    <row r="27" spans="2:16">
      <c r="B27" s="9" t="str">
        <f t="shared" si="5"/>
        <v/>
      </c>
      <c r="C27" s="157">
        <f>IF(D11="","-",+C26+1)</f>
        <v>2021</v>
      </c>
      <c r="D27" s="166">
        <f>IF(F26+SUM(E$17:E26)=D$10,F26,D$10-SUM(E$17:E26))</f>
        <v>1126686.7579489145</v>
      </c>
      <c r="E27" s="164">
        <f>IF(+I14&lt;F26,I14,D27)</f>
        <v>31202.213777777775</v>
      </c>
      <c r="F27" s="163">
        <f t="shared" si="10"/>
        <v>1095484.5441711368</v>
      </c>
      <c r="G27" s="165">
        <f t="shared" si="11"/>
        <v>179460.21377777777</v>
      </c>
      <c r="H27" s="147">
        <f t="shared" si="12"/>
        <v>179460.21377777777</v>
      </c>
      <c r="I27" s="160">
        <f t="shared" si="6"/>
        <v>0</v>
      </c>
      <c r="J27" s="160"/>
      <c r="K27" s="330"/>
      <c r="L27" s="162">
        <f t="shared" si="1"/>
        <v>0</v>
      </c>
      <c r="M27" s="330"/>
      <c r="N27" s="162">
        <f t="shared" si="3"/>
        <v>0</v>
      </c>
      <c r="O27" s="162">
        <f t="shared" si="4"/>
        <v>0</v>
      </c>
      <c r="P27" s="4"/>
    </row>
    <row r="28" spans="2:16">
      <c r="B28" s="9" t="str">
        <f t="shared" si="5"/>
        <v/>
      </c>
      <c r="C28" s="157">
        <f>IF(D11="","-",+C27+1)</f>
        <v>2022</v>
      </c>
      <c r="D28" s="163">
        <f>IF(F27+SUM(E$17:E27)=D$10,F27,D$10-SUM(E$17:E27))</f>
        <v>1095484.5441711368</v>
      </c>
      <c r="E28" s="164">
        <f>IF(+I14&lt;F27,I14,D28)</f>
        <v>31202.213777777775</v>
      </c>
      <c r="F28" s="163">
        <f t="shared" si="10"/>
        <v>1064282.3303933591</v>
      </c>
      <c r="G28" s="165">
        <f t="shared" si="11"/>
        <v>175237.21377777777</v>
      </c>
      <c r="H28" s="147">
        <f t="shared" si="12"/>
        <v>175237.21377777777</v>
      </c>
      <c r="I28" s="160">
        <f t="shared" si="6"/>
        <v>0</v>
      </c>
      <c r="J28" s="160"/>
      <c r="K28" s="330"/>
      <c r="L28" s="162">
        <f t="shared" si="1"/>
        <v>0</v>
      </c>
      <c r="M28" s="330"/>
      <c r="N28" s="162">
        <f t="shared" si="3"/>
        <v>0</v>
      </c>
      <c r="O28" s="162">
        <f t="shared" si="4"/>
        <v>0</v>
      </c>
      <c r="P28" s="4"/>
    </row>
    <row r="29" spans="2:16">
      <c r="B29" s="9" t="str">
        <f t="shared" si="5"/>
        <v/>
      </c>
      <c r="C29" s="157">
        <f>IF(D11="","-",+C28+1)</f>
        <v>2023</v>
      </c>
      <c r="D29" s="163">
        <f>IF(F28+SUM(E$17:E28)=D$10,F28,D$10-SUM(E$17:E28))</f>
        <v>1064282.3303933591</v>
      </c>
      <c r="E29" s="164">
        <f>IF(+I14&lt;F28,I14,D29)</f>
        <v>31202.213777777775</v>
      </c>
      <c r="F29" s="163">
        <f t="shared" si="10"/>
        <v>1033080.1166155813</v>
      </c>
      <c r="G29" s="165">
        <f t="shared" si="11"/>
        <v>171014.21377777777</v>
      </c>
      <c r="H29" s="147">
        <f t="shared" si="12"/>
        <v>171014.21377777777</v>
      </c>
      <c r="I29" s="160">
        <f t="shared" si="6"/>
        <v>0</v>
      </c>
      <c r="J29" s="160"/>
      <c r="K29" s="330"/>
      <c r="L29" s="162">
        <f t="shared" si="1"/>
        <v>0</v>
      </c>
      <c r="M29" s="330"/>
      <c r="N29" s="162">
        <f t="shared" si="3"/>
        <v>0</v>
      </c>
      <c r="O29" s="162">
        <f t="shared" si="4"/>
        <v>0</v>
      </c>
      <c r="P29" s="4"/>
    </row>
    <row r="30" spans="2:16">
      <c r="B30" s="9" t="str">
        <f t="shared" si="5"/>
        <v/>
      </c>
      <c r="C30" s="157">
        <f>IF(D11="","-",+C29+1)</f>
        <v>2024</v>
      </c>
      <c r="D30" s="163">
        <f>IF(F29+SUM(E$17:E29)=D$10,F29,D$10-SUM(E$17:E29))</f>
        <v>1033080.1166155813</v>
      </c>
      <c r="E30" s="164">
        <f>IF(+I14&lt;F29,I14,D30)</f>
        <v>31202.213777777775</v>
      </c>
      <c r="F30" s="163">
        <f t="shared" si="10"/>
        <v>1001877.9028378036</v>
      </c>
      <c r="G30" s="165">
        <f t="shared" si="11"/>
        <v>166792.21377777777</v>
      </c>
      <c r="H30" s="147">
        <f t="shared" si="12"/>
        <v>166792.21377777777</v>
      </c>
      <c r="I30" s="160">
        <f t="shared" si="6"/>
        <v>0</v>
      </c>
      <c r="J30" s="160"/>
      <c r="K30" s="330"/>
      <c r="L30" s="162">
        <f t="shared" si="1"/>
        <v>0</v>
      </c>
      <c r="M30" s="330"/>
      <c r="N30" s="162">
        <f t="shared" si="3"/>
        <v>0</v>
      </c>
      <c r="O30" s="162">
        <f t="shared" si="4"/>
        <v>0</v>
      </c>
      <c r="P30" s="4"/>
    </row>
    <row r="31" spans="2:16">
      <c r="B31" s="9" t="str">
        <f t="shared" si="5"/>
        <v/>
      </c>
      <c r="C31" s="157">
        <f>IF(D11="","-",+C30+1)</f>
        <v>2025</v>
      </c>
      <c r="D31" s="163">
        <f>IF(F30+SUM(E$17:E30)=D$10,F30,D$10-SUM(E$17:E30))</f>
        <v>1001877.9028378036</v>
      </c>
      <c r="E31" s="164">
        <f>IF(+I14&lt;F30,I14,D31)</f>
        <v>31202.213777777775</v>
      </c>
      <c r="F31" s="163">
        <f t="shared" si="10"/>
        <v>970675.68906002585</v>
      </c>
      <c r="G31" s="165">
        <f t="shared" si="11"/>
        <v>162569.21377777777</v>
      </c>
      <c r="H31" s="147">
        <f t="shared" si="12"/>
        <v>162569.21377777777</v>
      </c>
      <c r="I31" s="160">
        <f t="shared" si="6"/>
        <v>0</v>
      </c>
      <c r="J31" s="160"/>
      <c r="K31" s="330"/>
      <c r="L31" s="162">
        <f t="shared" si="1"/>
        <v>0</v>
      </c>
      <c r="M31" s="330"/>
      <c r="N31" s="162">
        <f t="shared" si="3"/>
        <v>0</v>
      </c>
      <c r="O31" s="162">
        <f t="shared" si="4"/>
        <v>0</v>
      </c>
      <c r="P31" s="4"/>
    </row>
    <row r="32" spans="2:16">
      <c r="B32" s="9" t="str">
        <f t="shared" si="5"/>
        <v/>
      </c>
      <c r="C32" s="157">
        <f>IF(D11="","-",+C31+1)</f>
        <v>2026</v>
      </c>
      <c r="D32" s="163">
        <f>IF(F31+SUM(E$17:E31)=D$10,F31,D$10-SUM(E$17:E31))</f>
        <v>970675.68906002585</v>
      </c>
      <c r="E32" s="164">
        <f>IF(+I14&lt;F31,I14,D32)</f>
        <v>31202.213777777775</v>
      </c>
      <c r="F32" s="163">
        <f t="shared" si="10"/>
        <v>939473.47528224811</v>
      </c>
      <c r="G32" s="165">
        <f t="shared" si="11"/>
        <v>158346.21377777777</v>
      </c>
      <c r="H32" s="147">
        <f t="shared" si="12"/>
        <v>158346.21377777777</v>
      </c>
      <c r="I32" s="160">
        <f t="shared" si="6"/>
        <v>0</v>
      </c>
      <c r="J32" s="160"/>
      <c r="K32" s="330"/>
      <c r="L32" s="162">
        <f t="shared" si="1"/>
        <v>0</v>
      </c>
      <c r="M32" s="330"/>
      <c r="N32" s="162">
        <f t="shared" si="3"/>
        <v>0</v>
      </c>
      <c r="O32" s="162">
        <f t="shared" si="4"/>
        <v>0</v>
      </c>
      <c r="P32" s="4"/>
    </row>
    <row r="33" spans="2:16">
      <c r="B33" s="9" t="str">
        <f t="shared" si="5"/>
        <v/>
      </c>
      <c r="C33" s="157">
        <f>IF(D11="","-",+C32+1)</f>
        <v>2027</v>
      </c>
      <c r="D33" s="163">
        <f>IF(F32+SUM(E$17:E32)=D$10,F32,D$10-SUM(E$17:E32))</f>
        <v>939473.47528224811</v>
      </c>
      <c r="E33" s="164">
        <f>IF(+I14&lt;F32,I14,D33)</f>
        <v>31202.213777777775</v>
      </c>
      <c r="F33" s="163">
        <f t="shared" si="10"/>
        <v>908271.26150447037</v>
      </c>
      <c r="G33" s="165">
        <f t="shared" si="11"/>
        <v>154123.21377777777</v>
      </c>
      <c r="H33" s="147">
        <f t="shared" si="12"/>
        <v>154123.21377777777</v>
      </c>
      <c r="I33" s="160">
        <f t="shared" si="6"/>
        <v>0</v>
      </c>
      <c r="J33" s="160"/>
      <c r="K33" s="330"/>
      <c r="L33" s="162">
        <f t="shared" si="1"/>
        <v>0</v>
      </c>
      <c r="M33" s="330"/>
      <c r="N33" s="162">
        <f t="shared" si="3"/>
        <v>0</v>
      </c>
      <c r="O33" s="162">
        <f t="shared" si="4"/>
        <v>0</v>
      </c>
      <c r="P33" s="4"/>
    </row>
    <row r="34" spans="2:16">
      <c r="B34" s="9" t="str">
        <f t="shared" si="5"/>
        <v/>
      </c>
      <c r="C34" s="157">
        <f>IF(D11="","-",+C33+1)</f>
        <v>2028</v>
      </c>
      <c r="D34" s="163">
        <f>IF(F33+SUM(E$17:E33)=D$10,F33,D$10-SUM(E$17:E33))</f>
        <v>908271.26150447037</v>
      </c>
      <c r="E34" s="164">
        <f>IF(+I14&lt;F33,I14,D34)</f>
        <v>31202.213777777775</v>
      </c>
      <c r="F34" s="163">
        <f t="shared" si="10"/>
        <v>877069.04772669263</v>
      </c>
      <c r="G34" s="165">
        <f t="shared" si="11"/>
        <v>149900.21377777777</v>
      </c>
      <c r="H34" s="147">
        <f t="shared" si="12"/>
        <v>149900.21377777777</v>
      </c>
      <c r="I34" s="160">
        <f t="shared" si="6"/>
        <v>0</v>
      </c>
      <c r="J34" s="160"/>
      <c r="K34" s="330"/>
      <c r="L34" s="162">
        <f t="shared" si="1"/>
        <v>0</v>
      </c>
      <c r="M34" s="330"/>
      <c r="N34" s="162">
        <f t="shared" si="3"/>
        <v>0</v>
      </c>
      <c r="O34" s="162">
        <f t="shared" si="4"/>
        <v>0</v>
      </c>
      <c r="P34" s="4"/>
    </row>
    <row r="35" spans="2:16">
      <c r="B35" s="9" t="str">
        <f t="shared" si="5"/>
        <v/>
      </c>
      <c r="C35" s="157">
        <f>IF(D11="","-",+C34+1)</f>
        <v>2029</v>
      </c>
      <c r="D35" s="163">
        <f>IF(F34+SUM(E$17:E34)=D$10,F34,D$10-SUM(E$17:E34))</f>
        <v>877069.04772669263</v>
      </c>
      <c r="E35" s="164">
        <f>IF(+I14&lt;F34,I14,D35)</f>
        <v>31202.213777777775</v>
      </c>
      <c r="F35" s="163">
        <f t="shared" si="10"/>
        <v>845866.83394891489</v>
      </c>
      <c r="G35" s="165">
        <f t="shared" si="11"/>
        <v>145678.21377777777</v>
      </c>
      <c r="H35" s="147">
        <f t="shared" si="12"/>
        <v>145678.21377777777</v>
      </c>
      <c r="I35" s="160">
        <f t="shared" si="6"/>
        <v>0</v>
      </c>
      <c r="J35" s="160"/>
      <c r="K35" s="330"/>
      <c r="L35" s="162">
        <f t="shared" si="1"/>
        <v>0</v>
      </c>
      <c r="M35" s="330"/>
      <c r="N35" s="162">
        <f t="shared" si="3"/>
        <v>0</v>
      </c>
      <c r="O35" s="162">
        <f t="shared" si="4"/>
        <v>0</v>
      </c>
      <c r="P35" s="4"/>
    </row>
    <row r="36" spans="2:16">
      <c r="B36" s="9" t="str">
        <f t="shared" si="5"/>
        <v/>
      </c>
      <c r="C36" s="157">
        <f>IF(D11="","-",+C35+1)</f>
        <v>2030</v>
      </c>
      <c r="D36" s="163">
        <f>IF(F35+SUM(E$17:E35)=D$10,F35,D$10-SUM(E$17:E35))</f>
        <v>845866.83394891489</v>
      </c>
      <c r="E36" s="164">
        <f>IF(+I14&lt;F35,I14,D36)</f>
        <v>31202.213777777775</v>
      </c>
      <c r="F36" s="163">
        <f t="shared" si="10"/>
        <v>814664.62017113715</v>
      </c>
      <c r="G36" s="165">
        <f t="shared" si="11"/>
        <v>141455.21377777777</v>
      </c>
      <c r="H36" s="147">
        <f t="shared" si="12"/>
        <v>141455.21377777777</v>
      </c>
      <c r="I36" s="160">
        <f t="shared" si="6"/>
        <v>0</v>
      </c>
      <c r="J36" s="160"/>
      <c r="K36" s="330"/>
      <c r="L36" s="162">
        <f t="shared" si="1"/>
        <v>0</v>
      </c>
      <c r="M36" s="330"/>
      <c r="N36" s="162">
        <f t="shared" si="3"/>
        <v>0</v>
      </c>
      <c r="O36" s="162">
        <f t="shared" si="4"/>
        <v>0</v>
      </c>
      <c r="P36" s="4"/>
    </row>
    <row r="37" spans="2:16">
      <c r="B37" s="9" t="str">
        <f t="shared" si="5"/>
        <v/>
      </c>
      <c r="C37" s="157">
        <f>IF(D11="","-",+C36+1)</f>
        <v>2031</v>
      </c>
      <c r="D37" s="163">
        <f>IF(F36+SUM(E$17:E36)=D$10,F36,D$10-SUM(E$17:E36))</f>
        <v>814664.62017113715</v>
      </c>
      <c r="E37" s="164">
        <f>IF(+I14&lt;F36,I14,D37)</f>
        <v>31202.213777777775</v>
      </c>
      <c r="F37" s="163">
        <f t="shared" si="10"/>
        <v>783462.40639335942</v>
      </c>
      <c r="G37" s="165">
        <f t="shared" si="11"/>
        <v>137232.21377777777</v>
      </c>
      <c r="H37" s="147">
        <f t="shared" si="12"/>
        <v>137232.21377777777</v>
      </c>
      <c r="I37" s="160">
        <f t="shared" si="6"/>
        <v>0</v>
      </c>
      <c r="J37" s="160"/>
      <c r="K37" s="330"/>
      <c r="L37" s="162">
        <f t="shared" si="1"/>
        <v>0</v>
      </c>
      <c r="M37" s="330"/>
      <c r="N37" s="162">
        <f t="shared" si="3"/>
        <v>0</v>
      </c>
      <c r="O37" s="162">
        <f t="shared" si="4"/>
        <v>0</v>
      </c>
      <c r="P37" s="4"/>
    </row>
    <row r="38" spans="2:16">
      <c r="B38" s="9" t="str">
        <f t="shared" si="5"/>
        <v/>
      </c>
      <c r="C38" s="157">
        <f>IF(D11="","-",+C37+1)</f>
        <v>2032</v>
      </c>
      <c r="D38" s="163">
        <f>IF(F37+SUM(E$17:E37)=D$10,F37,D$10-SUM(E$17:E37))</f>
        <v>783462.40639335942</v>
      </c>
      <c r="E38" s="164">
        <f>IF(+I14&lt;F37,I14,D38)</f>
        <v>31202.213777777775</v>
      </c>
      <c r="F38" s="163">
        <f t="shared" si="10"/>
        <v>752260.19261558168</v>
      </c>
      <c r="G38" s="165">
        <f t="shared" si="11"/>
        <v>133009.21377777777</v>
      </c>
      <c r="H38" s="147">
        <f t="shared" si="12"/>
        <v>133009.21377777777</v>
      </c>
      <c r="I38" s="160">
        <f t="shared" si="6"/>
        <v>0</v>
      </c>
      <c r="J38" s="160"/>
      <c r="K38" s="330"/>
      <c r="L38" s="162">
        <f t="shared" si="1"/>
        <v>0</v>
      </c>
      <c r="M38" s="330"/>
      <c r="N38" s="162">
        <f t="shared" si="3"/>
        <v>0</v>
      </c>
      <c r="O38" s="162">
        <f t="shared" si="4"/>
        <v>0</v>
      </c>
      <c r="P38" s="4"/>
    </row>
    <row r="39" spans="2:16">
      <c r="B39" s="9" t="str">
        <f t="shared" si="5"/>
        <v/>
      </c>
      <c r="C39" s="157">
        <f>IF(D11="","-",+C38+1)</f>
        <v>2033</v>
      </c>
      <c r="D39" s="163">
        <f>IF(F38+SUM(E$17:E38)=D$10,F38,D$10-SUM(E$17:E38))</f>
        <v>752260.19261558168</v>
      </c>
      <c r="E39" s="164">
        <f>IF(+I14&lt;F38,I14,D39)</f>
        <v>31202.213777777775</v>
      </c>
      <c r="F39" s="163">
        <f t="shared" si="10"/>
        <v>721057.97883780394</v>
      </c>
      <c r="G39" s="165">
        <f t="shared" si="11"/>
        <v>128787.21377777777</v>
      </c>
      <c r="H39" s="147">
        <f t="shared" si="12"/>
        <v>128787.21377777777</v>
      </c>
      <c r="I39" s="160">
        <f t="shared" si="6"/>
        <v>0</v>
      </c>
      <c r="J39" s="160"/>
      <c r="K39" s="330"/>
      <c r="L39" s="162">
        <f t="shared" si="1"/>
        <v>0</v>
      </c>
      <c r="M39" s="330"/>
      <c r="N39" s="162">
        <f t="shared" si="3"/>
        <v>0</v>
      </c>
      <c r="O39" s="162">
        <f t="shared" si="4"/>
        <v>0</v>
      </c>
      <c r="P39" s="4"/>
    </row>
    <row r="40" spans="2:16">
      <c r="B40" s="9" t="str">
        <f t="shared" si="5"/>
        <v/>
      </c>
      <c r="C40" s="157">
        <f>IF(D11="","-",+C39+1)</f>
        <v>2034</v>
      </c>
      <c r="D40" s="163">
        <f>IF(F39+SUM(E$17:E39)=D$10,F39,D$10-SUM(E$17:E39))</f>
        <v>721057.97883780394</v>
      </c>
      <c r="E40" s="164">
        <f>IF(+I14&lt;F39,I14,D40)</f>
        <v>31202.213777777775</v>
      </c>
      <c r="F40" s="163">
        <f t="shared" si="10"/>
        <v>689855.7650600262</v>
      </c>
      <c r="G40" s="165">
        <f t="shared" si="11"/>
        <v>124564.21377777777</v>
      </c>
      <c r="H40" s="147">
        <f t="shared" si="12"/>
        <v>124564.21377777777</v>
      </c>
      <c r="I40" s="160">
        <f t="shared" si="6"/>
        <v>0</v>
      </c>
      <c r="J40" s="160"/>
      <c r="K40" s="330"/>
      <c r="L40" s="162">
        <f t="shared" si="1"/>
        <v>0</v>
      </c>
      <c r="M40" s="330"/>
      <c r="N40" s="162">
        <f t="shared" si="3"/>
        <v>0</v>
      </c>
      <c r="O40" s="162">
        <f t="shared" si="4"/>
        <v>0</v>
      </c>
      <c r="P40" s="4"/>
    </row>
    <row r="41" spans="2:16">
      <c r="B41" s="9" t="str">
        <f t="shared" si="5"/>
        <v/>
      </c>
      <c r="C41" s="157">
        <f>IF(D11="","-",+C40+1)</f>
        <v>2035</v>
      </c>
      <c r="D41" s="163">
        <f>IF(F40+SUM(E$17:E40)=D$10,F40,D$10-SUM(E$17:E40))</f>
        <v>689855.7650600262</v>
      </c>
      <c r="E41" s="164">
        <f>IF(+I14&lt;F40,I14,D41)</f>
        <v>31202.213777777775</v>
      </c>
      <c r="F41" s="163">
        <f t="shared" si="10"/>
        <v>658653.55128224846</v>
      </c>
      <c r="G41" s="165">
        <f t="shared" si="11"/>
        <v>120341.21377777777</v>
      </c>
      <c r="H41" s="147">
        <f t="shared" si="12"/>
        <v>120341.21377777777</v>
      </c>
      <c r="I41" s="160">
        <f t="shared" si="6"/>
        <v>0</v>
      </c>
      <c r="J41" s="160"/>
      <c r="K41" s="330"/>
      <c r="L41" s="162">
        <f t="shared" si="1"/>
        <v>0</v>
      </c>
      <c r="M41" s="330"/>
      <c r="N41" s="162">
        <f t="shared" si="3"/>
        <v>0</v>
      </c>
      <c r="O41" s="162">
        <f t="shared" si="4"/>
        <v>0</v>
      </c>
      <c r="P41" s="4"/>
    </row>
    <row r="42" spans="2:16">
      <c r="B42" s="9" t="str">
        <f t="shared" si="5"/>
        <v/>
      </c>
      <c r="C42" s="157">
        <f>IF(D11="","-",+C41+1)</f>
        <v>2036</v>
      </c>
      <c r="D42" s="163">
        <f>IF(F41+SUM(E$17:E41)=D$10,F41,D$10-SUM(E$17:E41))</f>
        <v>658653.55128224846</v>
      </c>
      <c r="E42" s="164">
        <f>IF(+I14&lt;F41,I14,D42)</f>
        <v>31202.213777777775</v>
      </c>
      <c r="F42" s="163">
        <f t="shared" si="10"/>
        <v>627451.33750447072</v>
      </c>
      <c r="G42" s="165">
        <f t="shared" si="11"/>
        <v>116118.21377777777</v>
      </c>
      <c r="H42" s="147">
        <f t="shared" si="12"/>
        <v>116118.21377777777</v>
      </c>
      <c r="I42" s="160">
        <f t="shared" si="6"/>
        <v>0</v>
      </c>
      <c r="J42" s="160"/>
      <c r="K42" s="330"/>
      <c r="L42" s="162">
        <f t="shared" si="1"/>
        <v>0</v>
      </c>
      <c r="M42" s="330"/>
      <c r="N42" s="162">
        <f t="shared" si="3"/>
        <v>0</v>
      </c>
      <c r="O42" s="162">
        <f t="shared" si="4"/>
        <v>0</v>
      </c>
      <c r="P42" s="4"/>
    </row>
    <row r="43" spans="2:16">
      <c r="B43" s="9" t="str">
        <f t="shared" si="5"/>
        <v/>
      </c>
      <c r="C43" s="157">
        <f>IF(D11="","-",+C42+1)</f>
        <v>2037</v>
      </c>
      <c r="D43" s="163">
        <f>IF(F42+SUM(E$17:E42)=D$10,F42,D$10-SUM(E$17:E42))</f>
        <v>627451.33750447072</v>
      </c>
      <c r="E43" s="164">
        <f>IF(+I14&lt;F42,I14,D43)</f>
        <v>31202.213777777775</v>
      </c>
      <c r="F43" s="163">
        <f t="shared" si="10"/>
        <v>596249.12372669298</v>
      </c>
      <c r="G43" s="165">
        <f t="shared" si="11"/>
        <v>111896.21377777777</v>
      </c>
      <c r="H43" s="147">
        <f t="shared" si="12"/>
        <v>111896.21377777777</v>
      </c>
      <c r="I43" s="160">
        <f t="shared" si="6"/>
        <v>0</v>
      </c>
      <c r="J43" s="160"/>
      <c r="K43" s="330"/>
      <c r="L43" s="162">
        <f t="shared" si="1"/>
        <v>0</v>
      </c>
      <c r="M43" s="330"/>
      <c r="N43" s="162">
        <f t="shared" si="3"/>
        <v>0</v>
      </c>
      <c r="O43" s="162">
        <f t="shared" si="4"/>
        <v>0</v>
      </c>
      <c r="P43" s="4"/>
    </row>
    <row r="44" spans="2:16">
      <c r="B44" s="9" t="str">
        <f t="shared" si="5"/>
        <v/>
      </c>
      <c r="C44" s="157">
        <f>IF(D11="","-",+C43+1)</f>
        <v>2038</v>
      </c>
      <c r="D44" s="163">
        <f>IF(F43+SUM(E$17:E43)=D$10,F43,D$10-SUM(E$17:E43))</f>
        <v>596249.12372669298</v>
      </c>
      <c r="E44" s="164">
        <f>IF(+I14&lt;F43,I14,D44)</f>
        <v>31202.213777777775</v>
      </c>
      <c r="F44" s="163">
        <f t="shared" si="10"/>
        <v>565046.90994891524</v>
      </c>
      <c r="G44" s="165">
        <f t="shared" si="11"/>
        <v>107673.21377777777</v>
      </c>
      <c r="H44" s="147">
        <f t="shared" si="12"/>
        <v>107673.21377777777</v>
      </c>
      <c r="I44" s="160">
        <f t="shared" si="6"/>
        <v>0</v>
      </c>
      <c r="J44" s="160"/>
      <c r="K44" s="330"/>
      <c r="L44" s="162">
        <f t="shared" si="1"/>
        <v>0</v>
      </c>
      <c r="M44" s="330"/>
      <c r="N44" s="162">
        <f t="shared" si="3"/>
        <v>0</v>
      </c>
      <c r="O44" s="162">
        <f t="shared" si="4"/>
        <v>0</v>
      </c>
      <c r="P44" s="4"/>
    </row>
    <row r="45" spans="2:16">
      <c r="B45" s="9" t="str">
        <f t="shared" si="5"/>
        <v/>
      </c>
      <c r="C45" s="157">
        <f>IF(D11="","-",+C44+1)</f>
        <v>2039</v>
      </c>
      <c r="D45" s="163">
        <f>IF(F44+SUM(E$17:E44)=D$10,F44,D$10-SUM(E$17:E44))</f>
        <v>565046.90994891524</v>
      </c>
      <c r="E45" s="164">
        <f>IF(+I14&lt;F44,I14,D45)</f>
        <v>31202.213777777775</v>
      </c>
      <c r="F45" s="163">
        <f t="shared" si="10"/>
        <v>533844.6961711375</v>
      </c>
      <c r="G45" s="165">
        <f t="shared" si="11"/>
        <v>103450.21377777777</v>
      </c>
      <c r="H45" s="147">
        <f t="shared" si="12"/>
        <v>103450.21377777777</v>
      </c>
      <c r="I45" s="160">
        <f t="shared" si="6"/>
        <v>0</v>
      </c>
      <c r="J45" s="160"/>
      <c r="K45" s="330"/>
      <c r="L45" s="162">
        <f t="shared" si="1"/>
        <v>0</v>
      </c>
      <c r="M45" s="330"/>
      <c r="N45" s="162">
        <f t="shared" si="3"/>
        <v>0</v>
      </c>
      <c r="O45" s="162">
        <f t="shared" si="4"/>
        <v>0</v>
      </c>
      <c r="P45" s="4"/>
    </row>
    <row r="46" spans="2:16">
      <c r="B46" s="9" t="str">
        <f t="shared" si="5"/>
        <v/>
      </c>
      <c r="C46" s="157">
        <f>IF(D11="","-",+C45+1)</f>
        <v>2040</v>
      </c>
      <c r="D46" s="163">
        <f>IF(F45+SUM(E$17:E45)=D$10,F45,D$10-SUM(E$17:E45))</f>
        <v>533844.6961711375</v>
      </c>
      <c r="E46" s="164">
        <f>IF(+I14&lt;F45,I14,D46)</f>
        <v>31202.213777777775</v>
      </c>
      <c r="F46" s="163">
        <f t="shared" si="10"/>
        <v>502642.48239335971</v>
      </c>
      <c r="G46" s="165">
        <f t="shared" si="11"/>
        <v>99227.213777777768</v>
      </c>
      <c r="H46" s="147">
        <f t="shared" si="12"/>
        <v>99227.213777777768</v>
      </c>
      <c r="I46" s="160">
        <f t="shared" si="6"/>
        <v>0</v>
      </c>
      <c r="J46" s="160"/>
      <c r="K46" s="330"/>
      <c r="L46" s="162">
        <f t="shared" si="1"/>
        <v>0</v>
      </c>
      <c r="M46" s="330"/>
      <c r="N46" s="162">
        <f t="shared" si="3"/>
        <v>0</v>
      </c>
      <c r="O46" s="162">
        <f t="shared" si="4"/>
        <v>0</v>
      </c>
      <c r="P46" s="4"/>
    </row>
    <row r="47" spans="2:16">
      <c r="B47" s="9" t="str">
        <f t="shared" si="5"/>
        <v/>
      </c>
      <c r="C47" s="157">
        <f>IF(D11="","-",+C46+1)</f>
        <v>2041</v>
      </c>
      <c r="D47" s="163">
        <f>IF(F46+SUM(E$17:E46)=D$10,F46,D$10-SUM(E$17:E46))</f>
        <v>502642.48239335971</v>
      </c>
      <c r="E47" s="164">
        <f>IF(+I14&lt;F46,I14,D47)</f>
        <v>31202.213777777775</v>
      </c>
      <c r="F47" s="163">
        <f t="shared" si="10"/>
        <v>471440.26861558191</v>
      </c>
      <c r="G47" s="165">
        <f t="shared" si="11"/>
        <v>95005.213777777768</v>
      </c>
      <c r="H47" s="147">
        <f t="shared" si="12"/>
        <v>95005.213777777768</v>
      </c>
      <c r="I47" s="160">
        <f t="shared" si="6"/>
        <v>0</v>
      </c>
      <c r="J47" s="160"/>
      <c r="K47" s="330"/>
      <c r="L47" s="162">
        <f t="shared" si="1"/>
        <v>0</v>
      </c>
      <c r="M47" s="330"/>
      <c r="N47" s="162">
        <f t="shared" si="3"/>
        <v>0</v>
      </c>
      <c r="O47" s="162">
        <f t="shared" si="4"/>
        <v>0</v>
      </c>
      <c r="P47" s="4"/>
    </row>
    <row r="48" spans="2:16">
      <c r="B48" s="9" t="str">
        <f t="shared" si="5"/>
        <v/>
      </c>
      <c r="C48" s="157">
        <f>IF(D11="","-",+C47+1)</f>
        <v>2042</v>
      </c>
      <c r="D48" s="163">
        <f>IF(F47+SUM(E$17:E47)=D$10,F47,D$10-SUM(E$17:E47))</f>
        <v>471440.26861558191</v>
      </c>
      <c r="E48" s="164">
        <f>IF(+I14&lt;F47,I14,D48)</f>
        <v>31202.213777777775</v>
      </c>
      <c r="F48" s="163">
        <f t="shared" si="10"/>
        <v>440238.05483780411</v>
      </c>
      <c r="G48" s="165">
        <f t="shared" si="11"/>
        <v>90782.213777777768</v>
      </c>
      <c r="H48" s="147">
        <f t="shared" si="12"/>
        <v>90782.213777777768</v>
      </c>
      <c r="I48" s="160">
        <f t="shared" si="6"/>
        <v>0</v>
      </c>
      <c r="J48" s="160"/>
      <c r="K48" s="330"/>
      <c r="L48" s="162">
        <f t="shared" si="1"/>
        <v>0</v>
      </c>
      <c r="M48" s="330"/>
      <c r="N48" s="162">
        <f t="shared" si="3"/>
        <v>0</v>
      </c>
      <c r="O48" s="162">
        <f t="shared" si="4"/>
        <v>0</v>
      </c>
      <c r="P48" s="4"/>
    </row>
    <row r="49" spans="2:16">
      <c r="B49" s="9" t="str">
        <f t="shared" si="5"/>
        <v/>
      </c>
      <c r="C49" s="157">
        <f>IF(D11="","-",+C48+1)</f>
        <v>2043</v>
      </c>
      <c r="D49" s="163">
        <f>IF(F48+SUM(E$17:E48)=D$10,F48,D$10-SUM(E$17:E48))</f>
        <v>440238.05483780411</v>
      </c>
      <c r="E49" s="164">
        <f>IF(+I14&lt;F48,I14,D49)</f>
        <v>31202.213777777775</v>
      </c>
      <c r="F49" s="163">
        <f t="shared" si="10"/>
        <v>409035.84106002632</v>
      </c>
      <c r="G49" s="165">
        <f t="shared" si="11"/>
        <v>86559.213777777768</v>
      </c>
      <c r="H49" s="147">
        <f t="shared" si="12"/>
        <v>86559.213777777768</v>
      </c>
      <c r="I49" s="160">
        <f t="shared" ref="I49:I72" si="13">H49-G49</f>
        <v>0</v>
      </c>
      <c r="J49" s="160"/>
      <c r="K49" s="330"/>
      <c r="L49" s="162">
        <f t="shared" ref="L49:L72" si="14">IF(K49&lt;&gt;0,+G49-K49,0)</f>
        <v>0</v>
      </c>
      <c r="M49" s="330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ref="B50:B72" si="17">IF(D50=F49,"","IU")</f>
        <v/>
      </c>
      <c r="C50" s="157">
        <f>IF(D11="","-",+C49+1)</f>
        <v>2044</v>
      </c>
      <c r="D50" s="163">
        <f>IF(F49+SUM(E$17:E49)=D$10,F49,D$10-SUM(E$17:E49))</f>
        <v>409035.84106002632</v>
      </c>
      <c r="E50" s="164">
        <f>IF(+I14&lt;F49,I14,D50)</f>
        <v>31202.213777777775</v>
      </c>
      <c r="F50" s="163">
        <f t="shared" ref="F50:F72" si="18">+D50-E50</f>
        <v>377833.62728224852</v>
      </c>
      <c r="G50" s="165">
        <f t="shared" ref="G50:G72" si="19">ROUND(I$12*F50,0)+E50</f>
        <v>82336.213777777768</v>
      </c>
      <c r="H50" s="147">
        <f t="shared" ref="H50:H72" si="20">ROUND(I$13*F50,0)+E50</f>
        <v>82336.213777777768</v>
      </c>
      <c r="I50" s="160">
        <f t="shared" si="13"/>
        <v>0</v>
      </c>
      <c r="J50" s="160"/>
      <c r="K50" s="330"/>
      <c r="L50" s="162">
        <f t="shared" si="14"/>
        <v>0</v>
      </c>
      <c r="M50" s="330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17"/>
        <v/>
      </c>
      <c r="C51" s="157">
        <f>IF(D11="","-",+C50+1)</f>
        <v>2045</v>
      </c>
      <c r="D51" s="163">
        <f>IF(F50+SUM(E$17:E50)=D$10,F50,D$10-SUM(E$17:E50))</f>
        <v>377833.62728224852</v>
      </c>
      <c r="E51" s="164">
        <f>IF(+I14&lt;F50,I14,D51)</f>
        <v>31202.213777777775</v>
      </c>
      <c r="F51" s="163">
        <f t="shared" si="18"/>
        <v>346631.41350447072</v>
      </c>
      <c r="G51" s="165">
        <f t="shared" si="19"/>
        <v>78114.213777777768</v>
      </c>
      <c r="H51" s="147">
        <f t="shared" si="20"/>
        <v>78114.213777777768</v>
      </c>
      <c r="I51" s="160">
        <f t="shared" si="13"/>
        <v>0</v>
      </c>
      <c r="J51" s="160"/>
      <c r="K51" s="330"/>
      <c r="L51" s="162">
        <f t="shared" si="14"/>
        <v>0</v>
      </c>
      <c r="M51" s="330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17"/>
        <v/>
      </c>
      <c r="C52" s="157">
        <f>IF(D11="","-",+C51+1)</f>
        <v>2046</v>
      </c>
      <c r="D52" s="163">
        <f>IF(F51+SUM(E$17:E51)=D$10,F51,D$10-SUM(E$17:E51))</f>
        <v>346631.41350447072</v>
      </c>
      <c r="E52" s="164">
        <f>IF(+I14&lt;F51,I14,D52)</f>
        <v>31202.213777777775</v>
      </c>
      <c r="F52" s="163">
        <f t="shared" si="18"/>
        <v>315429.19972669292</v>
      </c>
      <c r="G52" s="165">
        <f t="shared" si="19"/>
        <v>73891.213777777768</v>
      </c>
      <c r="H52" s="147">
        <f t="shared" si="20"/>
        <v>73891.213777777768</v>
      </c>
      <c r="I52" s="160">
        <f t="shared" si="13"/>
        <v>0</v>
      </c>
      <c r="J52" s="160"/>
      <c r="K52" s="330"/>
      <c r="L52" s="162">
        <f t="shared" si="14"/>
        <v>0</v>
      </c>
      <c r="M52" s="330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17"/>
        <v/>
      </c>
      <c r="C53" s="157">
        <f>IF(D11="","-",+C52+1)</f>
        <v>2047</v>
      </c>
      <c r="D53" s="163">
        <f>IF(F52+SUM(E$17:E52)=D$10,F52,D$10-SUM(E$17:E52))</f>
        <v>315429.19972669292</v>
      </c>
      <c r="E53" s="164">
        <f>IF(+I14&lt;F52,I14,D53)</f>
        <v>31202.213777777775</v>
      </c>
      <c r="F53" s="163">
        <f t="shared" si="18"/>
        <v>284226.98594891513</v>
      </c>
      <c r="G53" s="165">
        <f t="shared" si="19"/>
        <v>69668.213777777768</v>
      </c>
      <c r="H53" s="147">
        <f t="shared" si="20"/>
        <v>69668.213777777768</v>
      </c>
      <c r="I53" s="160">
        <f t="shared" si="13"/>
        <v>0</v>
      </c>
      <c r="J53" s="160"/>
      <c r="K53" s="330"/>
      <c r="L53" s="162">
        <f t="shared" si="14"/>
        <v>0</v>
      </c>
      <c r="M53" s="330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17"/>
        <v/>
      </c>
      <c r="C54" s="157">
        <f>IF(D11="","-",+C53+1)</f>
        <v>2048</v>
      </c>
      <c r="D54" s="163">
        <f>IF(F53+SUM(E$17:E53)=D$10,F53,D$10-SUM(E$17:E53))</f>
        <v>284226.98594891513</v>
      </c>
      <c r="E54" s="164">
        <f>IF(+I14&lt;F53,I14,D54)</f>
        <v>31202.213777777775</v>
      </c>
      <c r="F54" s="163">
        <f t="shared" si="18"/>
        <v>253024.77217113736</v>
      </c>
      <c r="G54" s="165">
        <f t="shared" si="19"/>
        <v>65445.213777777775</v>
      </c>
      <c r="H54" s="147">
        <f t="shared" si="20"/>
        <v>65445.213777777775</v>
      </c>
      <c r="I54" s="160">
        <f t="shared" si="13"/>
        <v>0</v>
      </c>
      <c r="J54" s="160"/>
      <c r="K54" s="330"/>
      <c r="L54" s="162">
        <f t="shared" si="14"/>
        <v>0</v>
      </c>
      <c r="M54" s="330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17"/>
        <v/>
      </c>
      <c r="C55" s="157">
        <f>IF(D11="","-",+C54+1)</f>
        <v>2049</v>
      </c>
      <c r="D55" s="163">
        <f>IF(F54+SUM(E$17:E54)=D$10,F54,D$10-SUM(E$17:E54))</f>
        <v>253024.77217113736</v>
      </c>
      <c r="E55" s="164">
        <f>IF(+I14&lt;F54,I14,D55)</f>
        <v>31202.213777777775</v>
      </c>
      <c r="F55" s="163">
        <f t="shared" si="18"/>
        <v>221822.55839335959</v>
      </c>
      <c r="G55" s="165">
        <f t="shared" si="19"/>
        <v>61222.213777777775</v>
      </c>
      <c r="H55" s="147">
        <f t="shared" si="20"/>
        <v>61222.213777777775</v>
      </c>
      <c r="I55" s="160">
        <f t="shared" si="13"/>
        <v>0</v>
      </c>
      <c r="J55" s="160"/>
      <c r="K55" s="330"/>
      <c r="L55" s="162">
        <f t="shared" si="14"/>
        <v>0</v>
      </c>
      <c r="M55" s="330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17"/>
        <v/>
      </c>
      <c r="C56" s="157">
        <f>IF(D11="","-",+C55+1)</f>
        <v>2050</v>
      </c>
      <c r="D56" s="163">
        <f>IF(F55+SUM(E$17:E55)=D$10,F55,D$10-SUM(E$17:E55))</f>
        <v>221822.55839335959</v>
      </c>
      <c r="E56" s="164">
        <f>IF(+I14&lt;F55,I14,D56)</f>
        <v>31202.213777777775</v>
      </c>
      <c r="F56" s="163">
        <f t="shared" si="18"/>
        <v>190620.34461558182</v>
      </c>
      <c r="G56" s="165">
        <f t="shared" si="19"/>
        <v>57000.213777777775</v>
      </c>
      <c r="H56" s="147">
        <f t="shared" si="20"/>
        <v>57000.213777777775</v>
      </c>
      <c r="I56" s="160">
        <f t="shared" si="13"/>
        <v>0</v>
      </c>
      <c r="J56" s="160"/>
      <c r="K56" s="330"/>
      <c r="L56" s="162">
        <f t="shared" si="14"/>
        <v>0</v>
      </c>
      <c r="M56" s="330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17"/>
        <v/>
      </c>
      <c r="C57" s="157">
        <f>IF(D11="","-",+C56+1)</f>
        <v>2051</v>
      </c>
      <c r="D57" s="163">
        <f>IF(F56+SUM(E$17:E56)=D$10,F56,D$10-SUM(E$17:E56))</f>
        <v>190620.34461558182</v>
      </c>
      <c r="E57" s="164">
        <f>IF(+I14&lt;F56,I14,D57)</f>
        <v>31202.213777777775</v>
      </c>
      <c r="F57" s="163">
        <f t="shared" si="18"/>
        <v>159418.13083780406</v>
      </c>
      <c r="G57" s="165">
        <f t="shared" si="19"/>
        <v>52777.213777777775</v>
      </c>
      <c r="H57" s="147">
        <f t="shared" si="20"/>
        <v>52777.213777777775</v>
      </c>
      <c r="I57" s="160">
        <f t="shared" si="13"/>
        <v>0</v>
      </c>
      <c r="J57" s="160"/>
      <c r="K57" s="330"/>
      <c r="L57" s="162">
        <f t="shared" si="14"/>
        <v>0</v>
      </c>
      <c r="M57" s="330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17"/>
        <v/>
      </c>
      <c r="C58" s="157">
        <f>IF(D11="","-",+C57+1)</f>
        <v>2052</v>
      </c>
      <c r="D58" s="163">
        <f>IF(F57+SUM(E$17:E57)=D$10,F57,D$10-SUM(E$17:E57))</f>
        <v>159418.13083780406</v>
      </c>
      <c r="E58" s="164">
        <f>IF(+I14&lt;F57,I14,D58)</f>
        <v>31202.213777777775</v>
      </c>
      <c r="F58" s="163">
        <f t="shared" si="18"/>
        <v>128215.91706002629</v>
      </c>
      <c r="G58" s="165">
        <f t="shared" si="19"/>
        <v>48554.213777777775</v>
      </c>
      <c r="H58" s="147">
        <f t="shared" si="20"/>
        <v>48554.213777777775</v>
      </c>
      <c r="I58" s="160">
        <f t="shared" si="13"/>
        <v>0</v>
      </c>
      <c r="J58" s="160"/>
      <c r="K58" s="330"/>
      <c r="L58" s="162">
        <f t="shared" si="14"/>
        <v>0</v>
      </c>
      <c r="M58" s="330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17"/>
        <v/>
      </c>
      <c r="C59" s="157">
        <f>IF(D11="","-",+C58+1)</f>
        <v>2053</v>
      </c>
      <c r="D59" s="163">
        <f>IF(F58+SUM(E$17:E58)=D$10,F58,D$10-SUM(E$17:E58))</f>
        <v>128215.91706002629</v>
      </c>
      <c r="E59" s="164">
        <f>IF(+I14&lt;F58,I14,D59)</f>
        <v>31202.213777777775</v>
      </c>
      <c r="F59" s="163">
        <f t="shared" si="18"/>
        <v>97013.70328224852</v>
      </c>
      <c r="G59" s="165">
        <f t="shared" si="19"/>
        <v>44331.213777777775</v>
      </c>
      <c r="H59" s="147">
        <f t="shared" si="20"/>
        <v>44331.213777777775</v>
      </c>
      <c r="I59" s="160">
        <f t="shared" si="13"/>
        <v>0</v>
      </c>
      <c r="J59" s="160"/>
      <c r="K59" s="330"/>
      <c r="L59" s="162">
        <f t="shared" si="14"/>
        <v>0</v>
      </c>
      <c r="M59" s="330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17"/>
        <v/>
      </c>
      <c r="C60" s="157">
        <f>IF(D11="","-",+C59+1)</f>
        <v>2054</v>
      </c>
      <c r="D60" s="163">
        <f>IF(F59+SUM(E$17:E59)=D$10,F59,D$10-SUM(E$17:E59))</f>
        <v>97013.70328224852</v>
      </c>
      <c r="E60" s="164">
        <f>IF(+I14&lt;F59,I14,D60)</f>
        <v>31202.213777777775</v>
      </c>
      <c r="F60" s="163">
        <f t="shared" si="18"/>
        <v>65811.489504470752</v>
      </c>
      <c r="G60" s="165">
        <f t="shared" si="19"/>
        <v>40109.213777777775</v>
      </c>
      <c r="H60" s="147">
        <f t="shared" si="20"/>
        <v>40109.213777777775</v>
      </c>
      <c r="I60" s="160">
        <f t="shared" si="13"/>
        <v>0</v>
      </c>
      <c r="J60" s="160"/>
      <c r="K60" s="330"/>
      <c r="L60" s="162">
        <f t="shared" si="14"/>
        <v>0</v>
      </c>
      <c r="M60" s="330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17"/>
        <v/>
      </c>
      <c r="C61" s="157">
        <f>IF(D11="","-",+C60+1)</f>
        <v>2055</v>
      </c>
      <c r="D61" s="163">
        <f>IF(F60+SUM(E$17:E60)=D$10,F60,D$10-SUM(E$17:E60))</f>
        <v>65811.489504470752</v>
      </c>
      <c r="E61" s="164">
        <f>IF(+I14&lt;F60,I14,D61)</f>
        <v>31202.213777777775</v>
      </c>
      <c r="F61" s="163">
        <f t="shared" si="18"/>
        <v>34609.275726692977</v>
      </c>
      <c r="G61" s="167">
        <f t="shared" si="19"/>
        <v>35886.213777777775</v>
      </c>
      <c r="H61" s="147">
        <f t="shared" si="20"/>
        <v>35886.213777777775</v>
      </c>
      <c r="I61" s="160">
        <f t="shared" si="13"/>
        <v>0</v>
      </c>
      <c r="J61" s="160"/>
      <c r="K61" s="330"/>
      <c r="L61" s="162">
        <f t="shared" si="14"/>
        <v>0</v>
      </c>
      <c r="M61" s="330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17"/>
        <v/>
      </c>
      <c r="C62" s="157">
        <f>IF(D11="","-",+C61+1)</f>
        <v>2056</v>
      </c>
      <c r="D62" s="163">
        <f>IF(F61+SUM(E$17:E61)=D$10,F61,D$10-SUM(E$17:E61))</f>
        <v>34609.275726692977</v>
      </c>
      <c r="E62" s="164">
        <f>IF(+I14&lt;F61,I14,D62)</f>
        <v>31202.213777777775</v>
      </c>
      <c r="F62" s="163">
        <f t="shared" si="18"/>
        <v>3407.0619489152014</v>
      </c>
      <c r="G62" s="167">
        <f t="shared" si="19"/>
        <v>31663.213777777775</v>
      </c>
      <c r="H62" s="147">
        <f t="shared" si="20"/>
        <v>31663.213777777775</v>
      </c>
      <c r="I62" s="160">
        <f t="shared" si="13"/>
        <v>0</v>
      </c>
      <c r="J62" s="160"/>
      <c r="K62" s="330"/>
      <c r="L62" s="162">
        <f t="shared" si="14"/>
        <v>0</v>
      </c>
      <c r="M62" s="330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17"/>
        <v/>
      </c>
      <c r="C63" s="157">
        <f>IF(D11="","-",+C62+1)</f>
        <v>2057</v>
      </c>
      <c r="D63" s="163">
        <f>IF(F62+SUM(E$17:E62)=D$10,F62,D$10-SUM(E$17:E62))</f>
        <v>3407.0619489152014</v>
      </c>
      <c r="E63" s="164">
        <f>IF(+I14&lt;F62,I14,D63)</f>
        <v>3407.0619489152014</v>
      </c>
      <c r="F63" s="163">
        <f t="shared" si="18"/>
        <v>0</v>
      </c>
      <c r="G63" s="167">
        <f t="shared" si="19"/>
        <v>3407.0619489152014</v>
      </c>
      <c r="H63" s="147">
        <f t="shared" si="20"/>
        <v>3407.0619489152014</v>
      </c>
      <c r="I63" s="160">
        <f t="shared" si="13"/>
        <v>0</v>
      </c>
      <c r="J63" s="160"/>
      <c r="K63" s="330"/>
      <c r="L63" s="162">
        <f t="shared" si="14"/>
        <v>0</v>
      </c>
      <c r="M63" s="330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17"/>
        <v/>
      </c>
      <c r="C64" s="157">
        <f>IF(D11="","-",+C63+1)</f>
        <v>2058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8"/>
        <v>0</v>
      </c>
      <c r="G64" s="167">
        <f t="shared" si="19"/>
        <v>0</v>
      </c>
      <c r="H64" s="147">
        <f t="shared" si="20"/>
        <v>0</v>
      </c>
      <c r="I64" s="160">
        <f t="shared" si="13"/>
        <v>0</v>
      </c>
      <c r="J64" s="160"/>
      <c r="K64" s="330"/>
      <c r="L64" s="162">
        <f t="shared" si="14"/>
        <v>0</v>
      </c>
      <c r="M64" s="330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17"/>
        <v/>
      </c>
      <c r="C65" s="157">
        <f>IF(D11="","-",+C64+1)</f>
        <v>2059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8"/>
        <v>0</v>
      </c>
      <c r="G65" s="167">
        <f t="shared" si="19"/>
        <v>0</v>
      </c>
      <c r="H65" s="147">
        <f t="shared" si="20"/>
        <v>0</v>
      </c>
      <c r="I65" s="160">
        <f t="shared" si="13"/>
        <v>0</v>
      </c>
      <c r="J65" s="160"/>
      <c r="K65" s="330"/>
      <c r="L65" s="162">
        <f t="shared" si="14"/>
        <v>0</v>
      </c>
      <c r="M65" s="330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17"/>
        <v/>
      </c>
      <c r="C66" s="157">
        <f>IF(D11="","-",+C65+1)</f>
        <v>2060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8"/>
        <v>0</v>
      </c>
      <c r="G66" s="167">
        <f t="shared" si="19"/>
        <v>0</v>
      </c>
      <c r="H66" s="147">
        <f t="shared" si="20"/>
        <v>0</v>
      </c>
      <c r="I66" s="160">
        <f t="shared" si="13"/>
        <v>0</v>
      </c>
      <c r="J66" s="160"/>
      <c r="K66" s="330"/>
      <c r="L66" s="162">
        <f t="shared" si="14"/>
        <v>0</v>
      </c>
      <c r="M66" s="330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17"/>
        <v/>
      </c>
      <c r="C67" s="157">
        <f>IF(D11="","-",+C66+1)</f>
        <v>2061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8"/>
        <v>0</v>
      </c>
      <c r="G67" s="167">
        <f t="shared" si="19"/>
        <v>0</v>
      </c>
      <c r="H67" s="147">
        <f t="shared" si="20"/>
        <v>0</v>
      </c>
      <c r="I67" s="160">
        <f t="shared" si="13"/>
        <v>0</v>
      </c>
      <c r="J67" s="160"/>
      <c r="K67" s="330"/>
      <c r="L67" s="162">
        <f t="shared" si="14"/>
        <v>0</v>
      </c>
      <c r="M67" s="330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17"/>
        <v/>
      </c>
      <c r="C68" s="157">
        <f>IF(D11="","-",+C67+1)</f>
        <v>2062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8"/>
        <v>0</v>
      </c>
      <c r="G68" s="167">
        <f t="shared" si="19"/>
        <v>0</v>
      </c>
      <c r="H68" s="147">
        <f t="shared" si="20"/>
        <v>0</v>
      </c>
      <c r="I68" s="160">
        <f t="shared" si="13"/>
        <v>0</v>
      </c>
      <c r="J68" s="160"/>
      <c r="K68" s="330"/>
      <c r="L68" s="162">
        <f t="shared" si="14"/>
        <v>0</v>
      </c>
      <c r="M68" s="330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17"/>
        <v/>
      </c>
      <c r="C69" s="157">
        <f>IF(D11="","-",+C68+1)</f>
        <v>2063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8"/>
        <v>0</v>
      </c>
      <c r="G69" s="167">
        <f t="shared" si="19"/>
        <v>0</v>
      </c>
      <c r="H69" s="147">
        <f t="shared" si="20"/>
        <v>0</v>
      </c>
      <c r="I69" s="160">
        <f t="shared" si="13"/>
        <v>0</v>
      </c>
      <c r="J69" s="160"/>
      <c r="K69" s="330"/>
      <c r="L69" s="162">
        <f t="shared" si="14"/>
        <v>0</v>
      </c>
      <c r="M69" s="330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17"/>
        <v/>
      </c>
      <c r="C70" s="157">
        <f>IF(D11="","-",+C69+1)</f>
        <v>2064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8"/>
        <v>0</v>
      </c>
      <c r="G70" s="167">
        <f t="shared" si="19"/>
        <v>0</v>
      </c>
      <c r="H70" s="147">
        <f t="shared" si="20"/>
        <v>0</v>
      </c>
      <c r="I70" s="160">
        <f t="shared" si="13"/>
        <v>0</v>
      </c>
      <c r="J70" s="160"/>
      <c r="K70" s="330"/>
      <c r="L70" s="162">
        <f t="shared" si="14"/>
        <v>0</v>
      </c>
      <c r="M70" s="330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17"/>
        <v/>
      </c>
      <c r="C71" s="157">
        <f>IF(D11="","-",+C70+1)</f>
        <v>2065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8"/>
        <v>0</v>
      </c>
      <c r="G71" s="167">
        <f t="shared" si="19"/>
        <v>0</v>
      </c>
      <c r="H71" s="147">
        <f t="shared" si="20"/>
        <v>0</v>
      </c>
      <c r="I71" s="160">
        <f t="shared" si="13"/>
        <v>0</v>
      </c>
      <c r="J71" s="160"/>
      <c r="K71" s="330"/>
      <c r="L71" s="162">
        <f t="shared" si="14"/>
        <v>0</v>
      </c>
      <c r="M71" s="330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17"/>
        <v/>
      </c>
      <c r="C72" s="168">
        <f>IF(D11="","-",+C71+1)</f>
        <v>2066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8"/>
        <v>0</v>
      </c>
      <c r="G72" s="171">
        <f t="shared" si="19"/>
        <v>0</v>
      </c>
      <c r="H72" s="130">
        <f t="shared" si="20"/>
        <v>0</v>
      </c>
      <c r="I72" s="172">
        <f t="shared" si="13"/>
        <v>0</v>
      </c>
      <c r="J72" s="160"/>
      <c r="K72" s="331"/>
      <c r="L72" s="173">
        <f t="shared" si="14"/>
        <v>0</v>
      </c>
      <c r="M72" s="331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77</v>
      </c>
      <c r="D73" s="115"/>
      <c r="E73" s="115">
        <f>SUM(E17:E72)</f>
        <v>1404099.6199999996</v>
      </c>
      <c r="F73" s="115"/>
      <c r="G73" s="115">
        <f>SUM(G17:G72)</f>
        <v>5874964.5917910514</v>
      </c>
      <c r="H73" s="115">
        <f>SUM(H17:H72)</f>
        <v>5874964.5917910514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11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192128.21377777777</v>
      </c>
      <c r="N87" s="202">
        <f>IF(J92&lt;D11,0,VLOOKUP(J92,C17:O72,11))</f>
        <v>192128.21377777777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156085.27550586959</v>
      </c>
      <c r="N88" s="204">
        <f>IF(J92&lt;D11,0,VLOOKUP(J92,C99:P154,7))</f>
        <v>156085.27550586959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Bartlesville SE to Coffeyville T Rebuild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-36042.938271908177</v>
      </c>
      <c r="N89" s="207">
        <f>+N88-N87</f>
        <v>-36042.938271908177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TP2008079-PSO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f>D10</f>
        <v>1404099.6199999999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2011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32653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2011</v>
      </c>
      <c r="D99" s="361">
        <v>0</v>
      </c>
      <c r="E99" s="363">
        <v>13815</v>
      </c>
      <c r="F99" s="410">
        <v>1422922</v>
      </c>
      <c r="G99" s="368">
        <v>711461</v>
      </c>
      <c r="H99" s="370">
        <v>113286.80836539247</v>
      </c>
      <c r="I99" s="370">
        <v>113286.80836539247</v>
      </c>
      <c r="J99" s="162">
        <f t="shared" ref="J99:J130" si="21">+I99-H99</f>
        <v>0</v>
      </c>
      <c r="K99" s="411"/>
      <c r="L99" s="379">
        <f t="shared" ref="L99:L104" si="22">H99</f>
        <v>113286.80836539247</v>
      </c>
      <c r="M99" s="412">
        <f t="shared" ref="M99:M130" si="23">IF(L99&lt;&gt;0,+H99-L99,0)</f>
        <v>0</v>
      </c>
      <c r="N99" s="379">
        <f t="shared" ref="N99:N104" si="24">I99</f>
        <v>113286.80836539247</v>
      </c>
      <c r="O99" s="161">
        <f t="shared" ref="O99:O130" si="25">IF(N99&lt;&gt;0,+I99-N99,0)</f>
        <v>0</v>
      </c>
      <c r="P99" s="175">
        <f t="shared" ref="P99:P130" si="26">+O99-M99</f>
        <v>0</v>
      </c>
    </row>
    <row r="100" spans="1:16">
      <c r="B100" s="9" t="str">
        <f t="shared" ref="B100:B131" si="27">IF(D100=F99,"","IU")</f>
        <v>IU</v>
      </c>
      <c r="C100" s="157">
        <f>IF(D93="","-",+C99+1)</f>
        <v>2012</v>
      </c>
      <c r="D100" s="361">
        <v>1479908</v>
      </c>
      <c r="E100" s="363">
        <v>28725</v>
      </c>
      <c r="F100" s="410">
        <v>1451183</v>
      </c>
      <c r="G100" s="366">
        <v>1465545.5</v>
      </c>
      <c r="H100" s="370">
        <v>239551.75399863988</v>
      </c>
      <c r="I100" s="370">
        <v>239551.75399863988</v>
      </c>
      <c r="J100" s="162">
        <v>0</v>
      </c>
      <c r="K100" s="411"/>
      <c r="L100" s="375">
        <f t="shared" si="22"/>
        <v>239551.75399863988</v>
      </c>
      <c r="M100" s="412">
        <f t="shared" ref="M100:M105" si="28">IF(L100&lt;&gt;0,+H100-L100,0)</f>
        <v>0</v>
      </c>
      <c r="N100" s="375">
        <f t="shared" si="24"/>
        <v>239551.75399863988</v>
      </c>
      <c r="O100" s="162">
        <f t="shared" ref="O100:O105" si="29">IF(N100&lt;&gt;0,+I100-N100,0)</f>
        <v>0</v>
      </c>
      <c r="P100" s="175">
        <f t="shared" ref="P100:P105" si="30">+O100-M100</f>
        <v>0</v>
      </c>
    </row>
    <row r="101" spans="1:16">
      <c r="B101" s="9" t="str">
        <f t="shared" si="27"/>
        <v/>
      </c>
      <c r="C101" s="157">
        <f>IF(D93="","-",+C100+1)</f>
        <v>2013</v>
      </c>
      <c r="D101" s="361">
        <v>1451183</v>
      </c>
      <c r="E101" s="363">
        <v>28725</v>
      </c>
      <c r="F101" s="410">
        <v>1422458</v>
      </c>
      <c r="G101" s="366">
        <v>1436820.5</v>
      </c>
      <c r="H101" s="370">
        <v>235540.35933406017</v>
      </c>
      <c r="I101" s="370">
        <v>235540.35933406017</v>
      </c>
      <c r="J101" s="162">
        <v>0</v>
      </c>
      <c r="K101" s="411"/>
      <c r="L101" s="375">
        <f t="shared" si="22"/>
        <v>235540.35933406017</v>
      </c>
      <c r="M101" s="412">
        <f t="shared" si="28"/>
        <v>0</v>
      </c>
      <c r="N101" s="375">
        <f t="shared" si="24"/>
        <v>235540.35933406017</v>
      </c>
      <c r="O101" s="162">
        <f t="shared" si="29"/>
        <v>0</v>
      </c>
      <c r="P101" s="175">
        <f t="shared" si="30"/>
        <v>0</v>
      </c>
    </row>
    <row r="102" spans="1:16">
      <c r="B102" s="9" t="str">
        <f t="shared" si="27"/>
        <v>IU</v>
      </c>
      <c r="C102" s="157">
        <f>IF(D93="","-",+C101+1)</f>
        <v>2014</v>
      </c>
      <c r="D102" s="361">
        <v>1332834.6199999999</v>
      </c>
      <c r="E102" s="363">
        <v>27002</v>
      </c>
      <c r="F102" s="410">
        <v>1305832.6199999999</v>
      </c>
      <c r="G102" s="366">
        <v>1319333.6199999999</v>
      </c>
      <c r="H102" s="370">
        <v>212494.91385632072</v>
      </c>
      <c r="I102" s="370">
        <v>212494.91385632072</v>
      </c>
      <c r="J102" s="162">
        <v>0</v>
      </c>
      <c r="K102" s="411"/>
      <c r="L102" s="375">
        <f t="shared" si="22"/>
        <v>212494.91385632072</v>
      </c>
      <c r="M102" s="412">
        <f t="shared" si="28"/>
        <v>0</v>
      </c>
      <c r="N102" s="375">
        <f t="shared" si="24"/>
        <v>212494.91385632072</v>
      </c>
      <c r="O102" s="162">
        <f t="shared" si="29"/>
        <v>0</v>
      </c>
      <c r="P102" s="175">
        <f t="shared" si="30"/>
        <v>0</v>
      </c>
    </row>
    <row r="103" spans="1:16">
      <c r="B103" s="9" t="str">
        <f t="shared" si="27"/>
        <v/>
      </c>
      <c r="C103" s="157">
        <f>IF(D93="","-",+C102+1)</f>
        <v>2015</v>
      </c>
      <c r="D103" s="361">
        <v>1305832.6199999999</v>
      </c>
      <c r="E103" s="363">
        <v>27002</v>
      </c>
      <c r="F103" s="410">
        <v>1278830.6199999999</v>
      </c>
      <c r="G103" s="366">
        <v>1292331.6199999999</v>
      </c>
      <c r="H103" s="370">
        <v>203330.25869072074</v>
      </c>
      <c r="I103" s="370">
        <v>203330.25869072074</v>
      </c>
      <c r="J103" s="162">
        <f t="shared" si="21"/>
        <v>0</v>
      </c>
      <c r="K103" s="411"/>
      <c r="L103" s="375">
        <f t="shared" si="22"/>
        <v>203330.25869072074</v>
      </c>
      <c r="M103" s="412">
        <f t="shared" si="28"/>
        <v>0</v>
      </c>
      <c r="N103" s="375">
        <f t="shared" si="24"/>
        <v>203330.25869072074</v>
      </c>
      <c r="O103" s="162">
        <f t="shared" si="29"/>
        <v>0</v>
      </c>
      <c r="P103" s="175">
        <f t="shared" si="30"/>
        <v>0</v>
      </c>
    </row>
    <row r="104" spans="1:16">
      <c r="B104" s="9" t="str">
        <f t="shared" si="27"/>
        <v/>
      </c>
      <c r="C104" s="157">
        <f>IF(D93="","-",+C103+1)</f>
        <v>2016</v>
      </c>
      <c r="D104" s="361">
        <v>1278830.6199999999</v>
      </c>
      <c r="E104" s="363">
        <v>30524</v>
      </c>
      <c r="F104" s="410">
        <v>1248306.6199999999</v>
      </c>
      <c r="G104" s="366">
        <v>1263568.6199999999</v>
      </c>
      <c r="H104" s="370">
        <v>193417.89490142919</v>
      </c>
      <c r="I104" s="370">
        <v>193417.89490142919</v>
      </c>
      <c r="J104" s="162">
        <f t="shared" si="21"/>
        <v>0</v>
      </c>
      <c r="K104" s="162"/>
      <c r="L104" s="375">
        <f t="shared" si="22"/>
        <v>193417.89490142919</v>
      </c>
      <c r="M104" s="412">
        <f t="shared" si="28"/>
        <v>0</v>
      </c>
      <c r="N104" s="375">
        <f t="shared" si="24"/>
        <v>193417.89490142919</v>
      </c>
      <c r="O104" s="162">
        <f t="shared" si="29"/>
        <v>0</v>
      </c>
      <c r="P104" s="175">
        <f t="shared" si="30"/>
        <v>0</v>
      </c>
    </row>
    <row r="105" spans="1:16">
      <c r="B105" s="9" t="str">
        <f t="shared" si="27"/>
        <v/>
      </c>
      <c r="C105" s="157">
        <f>IF(D93="","-",+C104+1)</f>
        <v>2017</v>
      </c>
      <c r="D105" s="361">
        <v>1248306.6199999999</v>
      </c>
      <c r="E105" s="363">
        <v>30524</v>
      </c>
      <c r="F105" s="410">
        <v>1217782.6199999999</v>
      </c>
      <c r="G105" s="366">
        <v>1233044.6199999999</v>
      </c>
      <c r="H105" s="370">
        <v>186938.81917011391</v>
      </c>
      <c r="I105" s="370">
        <v>186938.81917011391</v>
      </c>
      <c r="J105" s="162">
        <f t="shared" si="21"/>
        <v>0</v>
      </c>
      <c r="K105" s="162"/>
      <c r="L105" s="375">
        <f>H105</f>
        <v>186938.81917011391</v>
      </c>
      <c r="M105" s="412">
        <f t="shared" si="28"/>
        <v>0</v>
      </c>
      <c r="N105" s="375">
        <f>I105</f>
        <v>186938.81917011391</v>
      </c>
      <c r="O105" s="162">
        <f t="shared" si="29"/>
        <v>0</v>
      </c>
      <c r="P105" s="175">
        <f t="shared" si="30"/>
        <v>0</v>
      </c>
    </row>
    <row r="106" spans="1:16">
      <c r="B106" s="9" t="str">
        <f t="shared" si="27"/>
        <v/>
      </c>
      <c r="C106" s="157">
        <f>IF(D93="","-",+C105+1)</f>
        <v>2018</v>
      </c>
      <c r="D106" s="158">
        <f>IF(F105+SUM(E$99:E105)=D$92,F105,D$92-SUM(E$99:E105))</f>
        <v>1217782.6199999999</v>
      </c>
      <c r="E106" s="164">
        <f>IF(+J96&lt;F105,J96,D106)</f>
        <v>32653</v>
      </c>
      <c r="F106" s="163">
        <f t="shared" ref="F106:F130" si="31">+D106-E106</f>
        <v>1185129.6199999999</v>
      </c>
      <c r="G106" s="163">
        <f t="shared" ref="G106:G130" si="32">+(F106+D106)/2</f>
        <v>1201456.1199999999</v>
      </c>
      <c r="H106" s="167">
        <f t="shared" ref="H106:H130" si="33">+J$94*G106+E106</f>
        <v>156085.27550586959</v>
      </c>
      <c r="I106" s="312">
        <f t="shared" ref="I106:I130" si="34">+J$95*G106+E106</f>
        <v>156085.27550586959</v>
      </c>
      <c r="J106" s="162">
        <f t="shared" si="21"/>
        <v>0</v>
      </c>
      <c r="K106" s="162"/>
      <c r="L106" s="330"/>
      <c r="M106" s="411">
        <f t="shared" si="23"/>
        <v>0</v>
      </c>
      <c r="N106" s="330"/>
      <c r="O106" s="162">
        <f t="shared" si="25"/>
        <v>0</v>
      </c>
      <c r="P106" s="160">
        <f t="shared" si="26"/>
        <v>0</v>
      </c>
    </row>
    <row r="107" spans="1:16">
      <c r="B107" s="9" t="str">
        <f t="shared" si="27"/>
        <v/>
      </c>
      <c r="C107" s="157">
        <f>IF(D93="","-",+C106+1)</f>
        <v>2019</v>
      </c>
      <c r="D107" s="158">
        <f>IF(F106+SUM(E$99:E106)=D$92,F106,D$92-SUM(E$99:E106))</f>
        <v>1185129.6199999999</v>
      </c>
      <c r="E107" s="165">
        <f>IF(+J96&lt;F106,J96,D107)</f>
        <v>32653</v>
      </c>
      <c r="F107" s="163">
        <f t="shared" si="31"/>
        <v>1152476.6199999999</v>
      </c>
      <c r="G107" s="163">
        <f t="shared" si="32"/>
        <v>1168803.1199999999</v>
      </c>
      <c r="H107" s="167">
        <f t="shared" si="33"/>
        <v>152730.65104227024</v>
      </c>
      <c r="I107" s="312">
        <f t="shared" si="34"/>
        <v>152730.65104227024</v>
      </c>
      <c r="J107" s="162">
        <f t="shared" si="21"/>
        <v>0</v>
      </c>
      <c r="K107" s="162"/>
      <c r="L107" s="330"/>
      <c r="M107" s="162">
        <f t="shared" si="23"/>
        <v>0</v>
      </c>
      <c r="N107" s="330"/>
      <c r="O107" s="162">
        <f t="shared" si="25"/>
        <v>0</v>
      </c>
      <c r="P107" s="160">
        <f t="shared" si="26"/>
        <v>0</v>
      </c>
    </row>
    <row r="108" spans="1:16">
      <c r="B108" s="9" t="str">
        <f t="shared" si="27"/>
        <v/>
      </c>
      <c r="C108" s="157">
        <f>IF(D93="","-",+C107+1)</f>
        <v>2020</v>
      </c>
      <c r="D108" s="158">
        <f>IF(F107+SUM(E$99:E107)=D$92,F107,D$92-SUM(E$99:E107))</f>
        <v>1152476.6199999999</v>
      </c>
      <c r="E108" s="165">
        <f>IF(+J96&lt;F107,J96,D108)</f>
        <v>32653</v>
      </c>
      <c r="F108" s="163">
        <f t="shared" si="31"/>
        <v>1119823.6199999999</v>
      </c>
      <c r="G108" s="163">
        <f t="shared" si="32"/>
        <v>1136150.1199999999</v>
      </c>
      <c r="H108" s="167">
        <f t="shared" si="33"/>
        <v>149376.02657867086</v>
      </c>
      <c r="I108" s="312">
        <f t="shared" si="34"/>
        <v>149376.02657867086</v>
      </c>
      <c r="J108" s="162">
        <f t="shared" si="21"/>
        <v>0</v>
      </c>
      <c r="K108" s="162"/>
      <c r="L108" s="330"/>
      <c r="M108" s="162">
        <f t="shared" si="23"/>
        <v>0</v>
      </c>
      <c r="N108" s="330"/>
      <c r="O108" s="162">
        <f t="shared" si="25"/>
        <v>0</v>
      </c>
      <c r="P108" s="160">
        <f t="shared" si="26"/>
        <v>0</v>
      </c>
    </row>
    <row r="109" spans="1:16">
      <c r="B109" s="9" t="str">
        <f t="shared" si="27"/>
        <v/>
      </c>
      <c r="C109" s="157">
        <f>IF(D93="","-",+C108+1)</f>
        <v>2021</v>
      </c>
      <c r="D109" s="158">
        <f>IF(F108+SUM(E$99:E108)=D$92,F108,D$92-SUM(E$99:E108))</f>
        <v>1119823.6199999999</v>
      </c>
      <c r="E109" s="165">
        <f>IF(+J96&lt;F108,J96,D109)</f>
        <v>32653</v>
      </c>
      <c r="F109" s="163">
        <f t="shared" si="31"/>
        <v>1087170.6199999999</v>
      </c>
      <c r="G109" s="163">
        <f t="shared" si="32"/>
        <v>1103497.1199999999</v>
      </c>
      <c r="H109" s="167">
        <f t="shared" si="33"/>
        <v>146021.40211507151</v>
      </c>
      <c r="I109" s="312">
        <f t="shared" si="34"/>
        <v>146021.40211507151</v>
      </c>
      <c r="J109" s="162">
        <f t="shared" si="21"/>
        <v>0</v>
      </c>
      <c r="K109" s="162"/>
      <c r="L109" s="330"/>
      <c r="M109" s="162">
        <f t="shared" si="23"/>
        <v>0</v>
      </c>
      <c r="N109" s="330"/>
      <c r="O109" s="162">
        <f t="shared" si="25"/>
        <v>0</v>
      </c>
      <c r="P109" s="162">
        <f t="shared" si="26"/>
        <v>0</v>
      </c>
    </row>
    <row r="110" spans="1:16">
      <c r="B110" s="9" t="str">
        <f t="shared" si="27"/>
        <v/>
      </c>
      <c r="C110" s="157">
        <f>IF(D93="","-",+C109+1)</f>
        <v>2022</v>
      </c>
      <c r="D110" s="158">
        <f>IF(F109+SUM(E$99:E109)=D$92,F109,D$92-SUM(E$99:E109))</f>
        <v>1087170.6199999999</v>
      </c>
      <c r="E110" s="165">
        <f>IF(+J96&lt;F109,J96,D110)</f>
        <v>32653</v>
      </c>
      <c r="F110" s="163">
        <f t="shared" si="31"/>
        <v>1054517.6199999999</v>
      </c>
      <c r="G110" s="163">
        <f t="shared" si="32"/>
        <v>1070844.1199999999</v>
      </c>
      <c r="H110" s="167">
        <f t="shared" si="33"/>
        <v>142666.77765147216</v>
      </c>
      <c r="I110" s="312">
        <f t="shared" si="34"/>
        <v>142666.77765147216</v>
      </c>
      <c r="J110" s="162">
        <f t="shared" si="21"/>
        <v>0</v>
      </c>
      <c r="K110" s="162"/>
      <c r="L110" s="330"/>
      <c r="M110" s="162">
        <f t="shared" si="23"/>
        <v>0</v>
      </c>
      <c r="N110" s="330"/>
      <c r="O110" s="162">
        <f t="shared" si="25"/>
        <v>0</v>
      </c>
      <c r="P110" s="162">
        <f t="shared" si="26"/>
        <v>0</v>
      </c>
    </row>
    <row r="111" spans="1:16">
      <c r="B111" s="9" t="str">
        <f t="shared" si="27"/>
        <v/>
      </c>
      <c r="C111" s="157">
        <f>IF(D93="","-",+C110+1)</f>
        <v>2023</v>
      </c>
      <c r="D111" s="158">
        <f>IF(F110+SUM(E$99:E110)=D$92,F110,D$92-SUM(E$99:E110))</f>
        <v>1054517.6199999999</v>
      </c>
      <c r="E111" s="165">
        <f>IF(+J96&lt;F110,J96,D111)</f>
        <v>32653</v>
      </c>
      <c r="F111" s="163">
        <f t="shared" si="31"/>
        <v>1021864.6199999999</v>
      </c>
      <c r="G111" s="163">
        <f t="shared" si="32"/>
        <v>1038191.1199999999</v>
      </c>
      <c r="H111" s="167">
        <f t="shared" si="33"/>
        <v>139312.15318787281</v>
      </c>
      <c r="I111" s="312">
        <f t="shared" si="34"/>
        <v>139312.15318787281</v>
      </c>
      <c r="J111" s="162">
        <f t="shared" si="21"/>
        <v>0</v>
      </c>
      <c r="K111" s="162"/>
      <c r="L111" s="330"/>
      <c r="M111" s="162">
        <f t="shared" si="23"/>
        <v>0</v>
      </c>
      <c r="N111" s="330"/>
      <c r="O111" s="162">
        <f t="shared" si="25"/>
        <v>0</v>
      </c>
      <c r="P111" s="162">
        <f t="shared" si="26"/>
        <v>0</v>
      </c>
    </row>
    <row r="112" spans="1:16">
      <c r="B112" s="9" t="str">
        <f t="shared" si="27"/>
        <v/>
      </c>
      <c r="C112" s="157">
        <f>IF(D93="","-",+C111+1)</f>
        <v>2024</v>
      </c>
      <c r="D112" s="158">
        <f>IF(F111+SUM(E$99:E111)=D$92,F111,D$92-SUM(E$99:E111))</f>
        <v>1021864.6199999999</v>
      </c>
      <c r="E112" s="165">
        <f>IF(+J96&lt;F111,J96,D112)</f>
        <v>32653</v>
      </c>
      <c r="F112" s="163">
        <f t="shared" si="31"/>
        <v>989211.61999999988</v>
      </c>
      <c r="G112" s="163">
        <f t="shared" si="32"/>
        <v>1005538.1199999999</v>
      </c>
      <c r="H112" s="167">
        <f t="shared" si="33"/>
        <v>135957.52872427346</v>
      </c>
      <c r="I112" s="312">
        <f t="shared" si="34"/>
        <v>135957.52872427346</v>
      </c>
      <c r="J112" s="162">
        <f t="shared" si="21"/>
        <v>0</v>
      </c>
      <c r="K112" s="162"/>
      <c r="L112" s="330"/>
      <c r="M112" s="162">
        <f t="shared" si="23"/>
        <v>0</v>
      </c>
      <c r="N112" s="330"/>
      <c r="O112" s="162">
        <f t="shared" si="25"/>
        <v>0</v>
      </c>
      <c r="P112" s="162">
        <f t="shared" si="26"/>
        <v>0</v>
      </c>
    </row>
    <row r="113" spans="2:16">
      <c r="B113" s="9" t="str">
        <f t="shared" si="27"/>
        <v/>
      </c>
      <c r="C113" s="157">
        <f>IF(D93="","-",+C112+1)</f>
        <v>2025</v>
      </c>
      <c r="D113" s="158">
        <f>IF(F112+SUM(E$99:E112)=D$92,F112,D$92-SUM(E$99:E112))</f>
        <v>989211.61999999988</v>
      </c>
      <c r="E113" s="165">
        <f>IF(+J96&lt;F112,J96,D113)</f>
        <v>32653</v>
      </c>
      <c r="F113" s="163">
        <f t="shared" si="31"/>
        <v>956558.61999999988</v>
      </c>
      <c r="G113" s="163">
        <f t="shared" si="32"/>
        <v>972885.11999999988</v>
      </c>
      <c r="H113" s="167">
        <f t="shared" si="33"/>
        <v>132602.90426067408</v>
      </c>
      <c r="I113" s="312">
        <f t="shared" si="34"/>
        <v>132602.90426067408</v>
      </c>
      <c r="J113" s="162">
        <f t="shared" si="21"/>
        <v>0</v>
      </c>
      <c r="K113" s="162"/>
      <c r="L113" s="330"/>
      <c r="M113" s="162">
        <f t="shared" si="23"/>
        <v>0</v>
      </c>
      <c r="N113" s="330"/>
      <c r="O113" s="162">
        <f t="shared" si="25"/>
        <v>0</v>
      </c>
      <c r="P113" s="162">
        <f t="shared" si="26"/>
        <v>0</v>
      </c>
    </row>
    <row r="114" spans="2:16">
      <c r="B114" s="9" t="str">
        <f t="shared" si="27"/>
        <v/>
      </c>
      <c r="C114" s="157">
        <f>IF(D93="","-",+C113+1)</f>
        <v>2026</v>
      </c>
      <c r="D114" s="158">
        <f>IF(F113+SUM(E$99:E113)=D$92,F113,D$92-SUM(E$99:E113))</f>
        <v>956558.61999999988</v>
      </c>
      <c r="E114" s="165">
        <f>IF(+J96&lt;F113,J96,D114)</f>
        <v>32653</v>
      </c>
      <c r="F114" s="163">
        <f t="shared" si="31"/>
        <v>923905.61999999988</v>
      </c>
      <c r="G114" s="163">
        <f t="shared" si="32"/>
        <v>940232.11999999988</v>
      </c>
      <c r="H114" s="167">
        <f t="shared" si="33"/>
        <v>129248.27979707475</v>
      </c>
      <c r="I114" s="312">
        <f t="shared" si="34"/>
        <v>129248.27979707475</v>
      </c>
      <c r="J114" s="162">
        <f t="shared" si="21"/>
        <v>0</v>
      </c>
      <c r="K114" s="162"/>
      <c r="L114" s="330"/>
      <c r="M114" s="162">
        <f t="shared" si="23"/>
        <v>0</v>
      </c>
      <c r="N114" s="330"/>
      <c r="O114" s="162">
        <f t="shared" si="25"/>
        <v>0</v>
      </c>
      <c r="P114" s="162">
        <f t="shared" si="26"/>
        <v>0</v>
      </c>
    </row>
    <row r="115" spans="2:16">
      <c r="B115" s="9" t="str">
        <f t="shared" si="27"/>
        <v/>
      </c>
      <c r="C115" s="157">
        <f>IF(D93="","-",+C114+1)</f>
        <v>2027</v>
      </c>
      <c r="D115" s="158">
        <f>IF(F114+SUM(E$99:E114)=D$92,F114,D$92-SUM(E$99:E114))</f>
        <v>923905.61999999988</v>
      </c>
      <c r="E115" s="165">
        <f>IF(+J96&lt;F114,J96,D115)</f>
        <v>32653</v>
      </c>
      <c r="F115" s="163">
        <f t="shared" si="31"/>
        <v>891252.61999999988</v>
      </c>
      <c r="G115" s="163">
        <f t="shared" si="32"/>
        <v>907579.11999999988</v>
      </c>
      <c r="H115" s="167">
        <f t="shared" si="33"/>
        <v>125893.6553334754</v>
      </c>
      <c r="I115" s="312">
        <f t="shared" si="34"/>
        <v>125893.6553334754</v>
      </c>
      <c r="J115" s="162">
        <f t="shared" si="21"/>
        <v>0</v>
      </c>
      <c r="K115" s="162"/>
      <c r="L115" s="330"/>
      <c r="M115" s="162">
        <f t="shared" si="23"/>
        <v>0</v>
      </c>
      <c r="N115" s="330"/>
      <c r="O115" s="162">
        <f t="shared" si="25"/>
        <v>0</v>
      </c>
      <c r="P115" s="162">
        <f t="shared" si="26"/>
        <v>0</v>
      </c>
    </row>
    <row r="116" spans="2:16">
      <c r="B116" s="9" t="str">
        <f t="shared" si="27"/>
        <v/>
      </c>
      <c r="C116" s="157">
        <f>IF(D93="","-",+C115+1)</f>
        <v>2028</v>
      </c>
      <c r="D116" s="158">
        <f>IF(F115+SUM(E$99:E115)=D$92,F115,D$92-SUM(E$99:E115))</f>
        <v>891252.61999999988</v>
      </c>
      <c r="E116" s="165">
        <f>IF(+J96&lt;F115,J96,D116)</f>
        <v>32653</v>
      </c>
      <c r="F116" s="163">
        <f t="shared" si="31"/>
        <v>858599.61999999988</v>
      </c>
      <c r="G116" s="163">
        <f t="shared" si="32"/>
        <v>874926.11999999988</v>
      </c>
      <c r="H116" s="167">
        <f t="shared" si="33"/>
        <v>122539.03086987605</v>
      </c>
      <c r="I116" s="312">
        <f t="shared" si="34"/>
        <v>122539.03086987605</v>
      </c>
      <c r="J116" s="162">
        <f t="shared" si="21"/>
        <v>0</v>
      </c>
      <c r="K116" s="162"/>
      <c r="L116" s="330"/>
      <c r="M116" s="162">
        <f t="shared" si="23"/>
        <v>0</v>
      </c>
      <c r="N116" s="330"/>
      <c r="O116" s="162">
        <f t="shared" si="25"/>
        <v>0</v>
      </c>
      <c r="P116" s="162">
        <f t="shared" si="26"/>
        <v>0</v>
      </c>
    </row>
    <row r="117" spans="2:16">
      <c r="B117" s="9" t="str">
        <f t="shared" si="27"/>
        <v/>
      </c>
      <c r="C117" s="157">
        <f>IF(D93="","-",+C116+1)</f>
        <v>2029</v>
      </c>
      <c r="D117" s="158">
        <f>IF(F116+SUM(E$99:E116)=D$92,F116,D$92-SUM(E$99:E116))</f>
        <v>858599.61999999988</v>
      </c>
      <c r="E117" s="165">
        <f>IF(+J96&lt;F116,J96,D117)</f>
        <v>32653</v>
      </c>
      <c r="F117" s="163">
        <f t="shared" si="31"/>
        <v>825946.61999999988</v>
      </c>
      <c r="G117" s="163">
        <f t="shared" si="32"/>
        <v>842273.11999999988</v>
      </c>
      <c r="H117" s="167">
        <f t="shared" si="33"/>
        <v>119184.4064062767</v>
      </c>
      <c r="I117" s="312">
        <f t="shared" si="34"/>
        <v>119184.4064062767</v>
      </c>
      <c r="J117" s="162">
        <f t="shared" si="21"/>
        <v>0</v>
      </c>
      <c r="K117" s="162"/>
      <c r="L117" s="330"/>
      <c r="M117" s="162">
        <f t="shared" si="23"/>
        <v>0</v>
      </c>
      <c r="N117" s="330"/>
      <c r="O117" s="162">
        <f t="shared" si="25"/>
        <v>0</v>
      </c>
      <c r="P117" s="162">
        <f t="shared" si="26"/>
        <v>0</v>
      </c>
    </row>
    <row r="118" spans="2:16">
      <c r="B118" s="9" t="str">
        <f t="shared" si="27"/>
        <v/>
      </c>
      <c r="C118" s="157">
        <f>IF(D93="","-",+C117+1)</f>
        <v>2030</v>
      </c>
      <c r="D118" s="158">
        <f>IF(F117+SUM(E$99:E117)=D$92,F117,D$92-SUM(E$99:E117))</f>
        <v>825946.61999999988</v>
      </c>
      <c r="E118" s="165">
        <f>IF(+J96&lt;F117,J96,D118)</f>
        <v>32653</v>
      </c>
      <c r="F118" s="163">
        <f t="shared" si="31"/>
        <v>793293.61999999988</v>
      </c>
      <c r="G118" s="163">
        <f t="shared" si="32"/>
        <v>809620.11999999988</v>
      </c>
      <c r="H118" s="167">
        <f t="shared" si="33"/>
        <v>115829.78194267733</v>
      </c>
      <c r="I118" s="312">
        <f t="shared" si="34"/>
        <v>115829.78194267733</v>
      </c>
      <c r="J118" s="162">
        <f t="shared" si="21"/>
        <v>0</v>
      </c>
      <c r="K118" s="162"/>
      <c r="L118" s="330"/>
      <c r="M118" s="162">
        <f t="shared" si="23"/>
        <v>0</v>
      </c>
      <c r="N118" s="330"/>
      <c r="O118" s="162">
        <f t="shared" si="25"/>
        <v>0</v>
      </c>
      <c r="P118" s="162">
        <f t="shared" si="26"/>
        <v>0</v>
      </c>
    </row>
    <row r="119" spans="2:16">
      <c r="B119" s="9" t="str">
        <f t="shared" si="27"/>
        <v/>
      </c>
      <c r="C119" s="157">
        <f>IF(D93="","-",+C118+1)</f>
        <v>2031</v>
      </c>
      <c r="D119" s="158">
        <f>IF(F118+SUM(E$99:E118)=D$92,F118,D$92-SUM(E$99:E118))</f>
        <v>793293.61999999988</v>
      </c>
      <c r="E119" s="165">
        <f>IF(+J96&lt;F118,J96,D119)</f>
        <v>32653</v>
      </c>
      <c r="F119" s="163">
        <f t="shared" si="31"/>
        <v>760640.61999999988</v>
      </c>
      <c r="G119" s="163">
        <f t="shared" si="32"/>
        <v>776967.11999999988</v>
      </c>
      <c r="H119" s="167">
        <f t="shared" si="33"/>
        <v>112475.15747907799</v>
      </c>
      <c r="I119" s="312">
        <f t="shared" si="34"/>
        <v>112475.15747907799</v>
      </c>
      <c r="J119" s="162">
        <f t="shared" si="21"/>
        <v>0</v>
      </c>
      <c r="K119" s="162"/>
      <c r="L119" s="330"/>
      <c r="M119" s="162">
        <f t="shared" si="23"/>
        <v>0</v>
      </c>
      <c r="N119" s="330"/>
      <c r="O119" s="162">
        <f t="shared" si="25"/>
        <v>0</v>
      </c>
      <c r="P119" s="162">
        <f t="shared" si="26"/>
        <v>0</v>
      </c>
    </row>
    <row r="120" spans="2:16">
      <c r="B120" s="9" t="str">
        <f t="shared" si="27"/>
        <v/>
      </c>
      <c r="C120" s="157">
        <f>IF(D93="","-",+C119+1)</f>
        <v>2032</v>
      </c>
      <c r="D120" s="158">
        <f>IF(F119+SUM(E$99:E119)=D$92,F119,D$92-SUM(E$99:E119))</f>
        <v>760640.61999999988</v>
      </c>
      <c r="E120" s="165">
        <f>IF(+J96&lt;F119,J96,D120)</f>
        <v>32653</v>
      </c>
      <c r="F120" s="163">
        <f t="shared" si="31"/>
        <v>727987.61999999988</v>
      </c>
      <c r="G120" s="163">
        <f t="shared" si="32"/>
        <v>744314.11999999988</v>
      </c>
      <c r="H120" s="167">
        <f t="shared" si="33"/>
        <v>109120.53301547864</v>
      </c>
      <c r="I120" s="312">
        <f t="shared" si="34"/>
        <v>109120.53301547864</v>
      </c>
      <c r="J120" s="162">
        <f t="shared" si="21"/>
        <v>0</v>
      </c>
      <c r="K120" s="162"/>
      <c r="L120" s="330"/>
      <c r="M120" s="162">
        <f t="shared" si="23"/>
        <v>0</v>
      </c>
      <c r="N120" s="330"/>
      <c r="O120" s="162">
        <f t="shared" si="25"/>
        <v>0</v>
      </c>
      <c r="P120" s="162">
        <f t="shared" si="26"/>
        <v>0</v>
      </c>
    </row>
    <row r="121" spans="2:16">
      <c r="B121" s="9" t="str">
        <f t="shared" si="27"/>
        <v/>
      </c>
      <c r="C121" s="157">
        <f>IF(D93="","-",+C120+1)</f>
        <v>2033</v>
      </c>
      <c r="D121" s="158">
        <f>IF(F120+SUM(E$99:E120)=D$92,F120,D$92-SUM(E$99:E120))</f>
        <v>727987.61999999988</v>
      </c>
      <c r="E121" s="165">
        <f>IF(+J96&lt;F120,J96,D121)</f>
        <v>32653</v>
      </c>
      <c r="F121" s="163">
        <f t="shared" si="31"/>
        <v>695334.61999999988</v>
      </c>
      <c r="G121" s="163">
        <f t="shared" si="32"/>
        <v>711661.11999999988</v>
      </c>
      <c r="H121" s="167">
        <f t="shared" si="33"/>
        <v>105765.90855187929</v>
      </c>
      <c r="I121" s="312">
        <f t="shared" si="34"/>
        <v>105765.90855187929</v>
      </c>
      <c r="J121" s="162">
        <f t="shared" si="21"/>
        <v>0</v>
      </c>
      <c r="K121" s="162"/>
      <c r="L121" s="330"/>
      <c r="M121" s="162">
        <f t="shared" si="23"/>
        <v>0</v>
      </c>
      <c r="N121" s="330"/>
      <c r="O121" s="162">
        <f t="shared" si="25"/>
        <v>0</v>
      </c>
      <c r="P121" s="162">
        <f t="shared" si="26"/>
        <v>0</v>
      </c>
    </row>
    <row r="122" spans="2:16">
      <c r="B122" s="9" t="str">
        <f t="shared" si="27"/>
        <v/>
      </c>
      <c r="C122" s="157">
        <f>IF(D93="","-",+C121+1)</f>
        <v>2034</v>
      </c>
      <c r="D122" s="158">
        <f>IF(F121+SUM(E$99:E121)=D$92,F121,D$92-SUM(E$99:E121))</f>
        <v>695334.61999999988</v>
      </c>
      <c r="E122" s="165">
        <f>IF(+J96&lt;F121,J96,D122)</f>
        <v>32653</v>
      </c>
      <c r="F122" s="163">
        <f t="shared" si="31"/>
        <v>662681.61999999988</v>
      </c>
      <c r="G122" s="163">
        <f t="shared" si="32"/>
        <v>679008.11999999988</v>
      </c>
      <c r="H122" s="167">
        <f t="shared" si="33"/>
        <v>102411.28408827994</v>
      </c>
      <c r="I122" s="312">
        <f t="shared" si="34"/>
        <v>102411.28408827994</v>
      </c>
      <c r="J122" s="162">
        <f t="shared" si="21"/>
        <v>0</v>
      </c>
      <c r="K122" s="162"/>
      <c r="L122" s="330"/>
      <c r="M122" s="162">
        <f t="shared" si="23"/>
        <v>0</v>
      </c>
      <c r="N122" s="330"/>
      <c r="O122" s="162">
        <f t="shared" si="25"/>
        <v>0</v>
      </c>
      <c r="P122" s="162">
        <f t="shared" si="26"/>
        <v>0</v>
      </c>
    </row>
    <row r="123" spans="2:16">
      <c r="B123" s="9" t="str">
        <f t="shared" si="27"/>
        <v/>
      </c>
      <c r="C123" s="157">
        <f>IF(D93="","-",+C122+1)</f>
        <v>2035</v>
      </c>
      <c r="D123" s="158">
        <f>IF(F122+SUM(E$99:E122)=D$92,F122,D$92-SUM(E$99:E122))</f>
        <v>662681.61999999988</v>
      </c>
      <c r="E123" s="165">
        <f>IF(+J96&lt;F122,J96,D123)</f>
        <v>32653</v>
      </c>
      <c r="F123" s="163">
        <f t="shared" si="31"/>
        <v>630028.61999999988</v>
      </c>
      <c r="G123" s="163">
        <f t="shared" si="32"/>
        <v>646355.11999999988</v>
      </c>
      <c r="H123" s="167">
        <f t="shared" si="33"/>
        <v>99056.659624680571</v>
      </c>
      <c r="I123" s="312">
        <f t="shared" si="34"/>
        <v>99056.659624680571</v>
      </c>
      <c r="J123" s="162">
        <f t="shared" si="21"/>
        <v>0</v>
      </c>
      <c r="K123" s="162"/>
      <c r="L123" s="330"/>
      <c r="M123" s="162">
        <f t="shared" si="23"/>
        <v>0</v>
      </c>
      <c r="N123" s="330"/>
      <c r="O123" s="162">
        <f t="shared" si="25"/>
        <v>0</v>
      </c>
      <c r="P123" s="162">
        <f t="shared" si="26"/>
        <v>0</v>
      </c>
    </row>
    <row r="124" spans="2:16">
      <c r="B124" s="9" t="str">
        <f t="shared" si="27"/>
        <v/>
      </c>
      <c r="C124" s="157">
        <f>IF(D93="","-",+C123+1)</f>
        <v>2036</v>
      </c>
      <c r="D124" s="158">
        <f>IF(F123+SUM(E$99:E123)=D$92,F123,D$92-SUM(E$99:E123))</f>
        <v>630028.61999999988</v>
      </c>
      <c r="E124" s="165">
        <f>IF(+J96&lt;F123,J96,D124)</f>
        <v>32653</v>
      </c>
      <c r="F124" s="163">
        <f t="shared" si="31"/>
        <v>597375.61999999988</v>
      </c>
      <c r="G124" s="163">
        <f t="shared" si="32"/>
        <v>613702.11999999988</v>
      </c>
      <c r="H124" s="167">
        <f t="shared" si="33"/>
        <v>95702.035161081221</v>
      </c>
      <c r="I124" s="312">
        <f t="shared" si="34"/>
        <v>95702.035161081221</v>
      </c>
      <c r="J124" s="162">
        <f t="shared" si="21"/>
        <v>0</v>
      </c>
      <c r="K124" s="162"/>
      <c r="L124" s="330"/>
      <c r="M124" s="162">
        <f t="shared" si="23"/>
        <v>0</v>
      </c>
      <c r="N124" s="330"/>
      <c r="O124" s="162">
        <f t="shared" si="25"/>
        <v>0</v>
      </c>
      <c r="P124" s="162">
        <f t="shared" si="26"/>
        <v>0</v>
      </c>
    </row>
    <row r="125" spans="2:16">
      <c r="B125" s="9" t="str">
        <f t="shared" si="27"/>
        <v/>
      </c>
      <c r="C125" s="157">
        <f>IF(D93="","-",+C124+1)</f>
        <v>2037</v>
      </c>
      <c r="D125" s="158">
        <f>IF(F124+SUM(E$99:E124)=D$92,F124,D$92-SUM(E$99:E124))</f>
        <v>597375.61999999988</v>
      </c>
      <c r="E125" s="165">
        <f>IF(+J96&lt;F124,J96,D125)</f>
        <v>32653</v>
      </c>
      <c r="F125" s="163">
        <f t="shared" si="31"/>
        <v>564722.61999999988</v>
      </c>
      <c r="G125" s="163">
        <f t="shared" si="32"/>
        <v>581049.11999999988</v>
      </c>
      <c r="H125" s="167">
        <f t="shared" si="33"/>
        <v>92347.410697481871</v>
      </c>
      <c r="I125" s="312">
        <f t="shared" si="34"/>
        <v>92347.410697481871</v>
      </c>
      <c r="J125" s="162">
        <f t="shared" si="21"/>
        <v>0</v>
      </c>
      <c r="K125" s="162"/>
      <c r="L125" s="330"/>
      <c r="M125" s="162">
        <f t="shared" si="23"/>
        <v>0</v>
      </c>
      <c r="N125" s="330"/>
      <c r="O125" s="162">
        <f t="shared" si="25"/>
        <v>0</v>
      </c>
      <c r="P125" s="162">
        <f t="shared" si="26"/>
        <v>0</v>
      </c>
    </row>
    <row r="126" spans="2:16">
      <c r="B126" s="9" t="str">
        <f t="shared" si="27"/>
        <v/>
      </c>
      <c r="C126" s="157">
        <f>IF(D93="","-",+C125+1)</f>
        <v>2038</v>
      </c>
      <c r="D126" s="158">
        <f>IF(F125+SUM(E$99:E125)=D$92,F125,D$92-SUM(E$99:E125))</f>
        <v>564722.61999999988</v>
      </c>
      <c r="E126" s="165">
        <f>IF(+J96&lt;F125,J96,D126)</f>
        <v>32653</v>
      </c>
      <c r="F126" s="163">
        <f t="shared" si="31"/>
        <v>532069.61999999988</v>
      </c>
      <c r="G126" s="163">
        <f t="shared" si="32"/>
        <v>548396.11999999988</v>
      </c>
      <c r="H126" s="167">
        <f t="shared" si="33"/>
        <v>88992.786233882522</v>
      </c>
      <c r="I126" s="312">
        <f t="shared" si="34"/>
        <v>88992.786233882522</v>
      </c>
      <c r="J126" s="162">
        <f t="shared" si="21"/>
        <v>0</v>
      </c>
      <c r="K126" s="162"/>
      <c r="L126" s="330"/>
      <c r="M126" s="162">
        <f t="shared" si="23"/>
        <v>0</v>
      </c>
      <c r="N126" s="330"/>
      <c r="O126" s="162">
        <f t="shared" si="25"/>
        <v>0</v>
      </c>
      <c r="P126" s="162">
        <f t="shared" si="26"/>
        <v>0</v>
      </c>
    </row>
    <row r="127" spans="2:16">
      <c r="B127" s="9" t="str">
        <f t="shared" si="27"/>
        <v/>
      </c>
      <c r="C127" s="157">
        <f>IF(D93="","-",+C126+1)</f>
        <v>2039</v>
      </c>
      <c r="D127" s="158">
        <f>IF(F126+SUM(E$99:E126)=D$92,F126,D$92-SUM(E$99:E126))</f>
        <v>532069.61999999988</v>
      </c>
      <c r="E127" s="165">
        <f>IF(+J96&lt;F126,J96,D127)</f>
        <v>32653</v>
      </c>
      <c r="F127" s="163">
        <f t="shared" si="31"/>
        <v>499416.61999999988</v>
      </c>
      <c r="G127" s="163">
        <f t="shared" si="32"/>
        <v>515743.11999999988</v>
      </c>
      <c r="H127" s="167">
        <f t="shared" si="33"/>
        <v>85638.161770283157</v>
      </c>
      <c r="I127" s="312">
        <f t="shared" si="34"/>
        <v>85638.161770283157</v>
      </c>
      <c r="J127" s="162">
        <f t="shared" si="21"/>
        <v>0</v>
      </c>
      <c r="K127" s="162"/>
      <c r="L127" s="330"/>
      <c r="M127" s="162">
        <f t="shared" si="23"/>
        <v>0</v>
      </c>
      <c r="N127" s="330"/>
      <c r="O127" s="162">
        <f t="shared" si="25"/>
        <v>0</v>
      </c>
      <c r="P127" s="162">
        <f t="shared" si="26"/>
        <v>0</v>
      </c>
    </row>
    <row r="128" spans="2:16">
      <c r="B128" s="9" t="str">
        <f t="shared" si="27"/>
        <v/>
      </c>
      <c r="C128" s="157">
        <f>IF(D93="","-",+C127+1)</f>
        <v>2040</v>
      </c>
      <c r="D128" s="158">
        <f>IF(F127+SUM(E$99:E127)=D$92,F127,D$92-SUM(E$99:E127))</f>
        <v>499416.61999999988</v>
      </c>
      <c r="E128" s="165">
        <f>IF(+J96&lt;F127,J96,D128)</f>
        <v>32653</v>
      </c>
      <c r="F128" s="163">
        <f t="shared" si="31"/>
        <v>466763.61999999988</v>
      </c>
      <c r="G128" s="163">
        <f t="shared" si="32"/>
        <v>483090.11999999988</v>
      </c>
      <c r="H128" s="167">
        <f t="shared" si="33"/>
        <v>82283.537306683807</v>
      </c>
      <c r="I128" s="312">
        <f t="shared" si="34"/>
        <v>82283.537306683807</v>
      </c>
      <c r="J128" s="162">
        <f t="shared" si="21"/>
        <v>0</v>
      </c>
      <c r="K128" s="162"/>
      <c r="L128" s="330"/>
      <c r="M128" s="162">
        <f t="shared" si="23"/>
        <v>0</v>
      </c>
      <c r="N128" s="330"/>
      <c r="O128" s="162">
        <f t="shared" si="25"/>
        <v>0</v>
      </c>
      <c r="P128" s="162">
        <f t="shared" si="26"/>
        <v>0</v>
      </c>
    </row>
    <row r="129" spans="2:16">
      <c r="B129" s="9" t="str">
        <f t="shared" si="27"/>
        <v/>
      </c>
      <c r="C129" s="157">
        <f>IF(D93="","-",+C128+1)</f>
        <v>2041</v>
      </c>
      <c r="D129" s="158">
        <f>IF(F128+SUM(E$99:E128)=D$92,F128,D$92-SUM(E$99:E128))</f>
        <v>466763.61999999988</v>
      </c>
      <c r="E129" s="165">
        <f t="shared" ref="E129:E154" si="35">IF(+J$96&lt;F128,J$96,D129)</f>
        <v>32653</v>
      </c>
      <c r="F129" s="163">
        <f t="shared" si="31"/>
        <v>434110.61999999988</v>
      </c>
      <c r="G129" s="163">
        <f t="shared" si="32"/>
        <v>450437.11999999988</v>
      </c>
      <c r="H129" s="167">
        <f t="shared" si="33"/>
        <v>78928.912843084458</v>
      </c>
      <c r="I129" s="312">
        <f t="shared" si="34"/>
        <v>78928.912843084458</v>
      </c>
      <c r="J129" s="162">
        <f t="shared" si="21"/>
        <v>0</v>
      </c>
      <c r="K129" s="162"/>
      <c r="L129" s="330"/>
      <c r="M129" s="162">
        <f t="shared" si="23"/>
        <v>0</v>
      </c>
      <c r="N129" s="330"/>
      <c r="O129" s="162">
        <f t="shared" si="25"/>
        <v>0</v>
      </c>
      <c r="P129" s="162">
        <f t="shared" si="26"/>
        <v>0</v>
      </c>
    </row>
    <row r="130" spans="2:16">
      <c r="B130" s="9" t="str">
        <f t="shared" si="27"/>
        <v/>
      </c>
      <c r="C130" s="157">
        <f>IF(D93="","-",+C129+1)</f>
        <v>2042</v>
      </c>
      <c r="D130" s="158">
        <f>IF(F129+SUM(E$99:E129)=D$92,F129,D$92-SUM(E$99:E129))</f>
        <v>434110.61999999988</v>
      </c>
      <c r="E130" s="165">
        <f t="shared" si="35"/>
        <v>32653</v>
      </c>
      <c r="F130" s="163">
        <f t="shared" si="31"/>
        <v>401457.61999999988</v>
      </c>
      <c r="G130" s="163">
        <f t="shared" si="32"/>
        <v>417784.11999999988</v>
      </c>
      <c r="H130" s="167">
        <f t="shared" si="33"/>
        <v>75574.288379485108</v>
      </c>
      <c r="I130" s="312">
        <f t="shared" si="34"/>
        <v>75574.288379485108</v>
      </c>
      <c r="J130" s="162">
        <f t="shared" si="21"/>
        <v>0</v>
      </c>
      <c r="K130" s="162"/>
      <c r="L130" s="330"/>
      <c r="M130" s="162">
        <f t="shared" si="23"/>
        <v>0</v>
      </c>
      <c r="N130" s="330"/>
      <c r="O130" s="162">
        <f t="shared" si="25"/>
        <v>0</v>
      </c>
      <c r="P130" s="162">
        <f t="shared" si="26"/>
        <v>0</v>
      </c>
    </row>
    <row r="131" spans="2:16">
      <c r="B131" s="9" t="str">
        <f t="shared" si="27"/>
        <v/>
      </c>
      <c r="C131" s="157">
        <f>IF(D93="","-",+C130+1)</f>
        <v>2043</v>
      </c>
      <c r="D131" s="158">
        <f>IF(F130+SUM(E$99:E130)=D$92,F130,D$92-SUM(E$99:E130))</f>
        <v>401457.61999999988</v>
      </c>
      <c r="E131" s="165">
        <f t="shared" si="35"/>
        <v>32653</v>
      </c>
      <c r="F131" s="163">
        <f t="shared" ref="F131:F154" si="36">+D131-E131</f>
        <v>368804.61999999988</v>
      </c>
      <c r="G131" s="163">
        <f t="shared" ref="G131:G154" si="37">+(F131+D131)/2</f>
        <v>385131.11999999988</v>
      </c>
      <c r="H131" s="167">
        <f t="shared" ref="H131:H154" si="38">+J$94*G131+E131</f>
        <v>72219.663915885758</v>
      </c>
      <c r="I131" s="312">
        <f t="shared" ref="I131:I154" si="39">+J$95*G131+E131</f>
        <v>72219.663915885758</v>
      </c>
      <c r="J131" s="162">
        <f t="shared" ref="J131:J154" si="40">+I541-H541</f>
        <v>0</v>
      </c>
      <c r="K131" s="162"/>
      <c r="L131" s="330"/>
      <c r="M131" s="162">
        <f t="shared" ref="M131:M154" si="41">IF(L541&lt;&gt;0,+H541-L541,0)</f>
        <v>0</v>
      </c>
      <c r="N131" s="330"/>
      <c r="O131" s="162">
        <f t="shared" ref="O131:O154" si="42">IF(N541&lt;&gt;0,+I541-N541,0)</f>
        <v>0</v>
      </c>
      <c r="P131" s="162">
        <f t="shared" ref="P131:P154" si="43">+O541-M541</f>
        <v>0</v>
      </c>
    </row>
    <row r="132" spans="2:16">
      <c r="B132" s="9" t="str">
        <f t="shared" ref="B132:B154" si="44">IF(D132=F131,"","IU")</f>
        <v/>
      </c>
      <c r="C132" s="157">
        <f>IF(D93="","-",+C131+1)</f>
        <v>2044</v>
      </c>
      <c r="D132" s="158">
        <f>IF(F131+SUM(E$99:E131)=D$92,F131,D$92-SUM(E$99:E131))</f>
        <v>368804.61999999988</v>
      </c>
      <c r="E132" s="165">
        <f t="shared" si="35"/>
        <v>32653</v>
      </c>
      <c r="F132" s="163">
        <f t="shared" si="36"/>
        <v>336151.61999999988</v>
      </c>
      <c r="G132" s="163">
        <f t="shared" si="37"/>
        <v>352478.11999999988</v>
      </c>
      <c r="H132" s="167">
        <f t="shared" si="38"/>
        <v>68865.039452286408</v>
      </c>
      <c r="I132" s="312">
        <f t="shared" si="39"/>
        <v>68865.039452286408</v>
      </c>
      <c r="J132" s="162">
        <f t="shared" si="40"/>
        <v>0</v>
      </c>
      <c r="K132" s="162"/>
      <c r="L132" s="330"/>
      <c r="M132" s="162">
        <f t="shared" si="41"/>
        <v>0</v>
      </c>
      <c r="N132" s="330"/>
      <c r="O132" s="162">
        <f t="shared" si="42"/>
        <v>0</v>
      </c>
      <c r="P132" s="162">
        <f t="shared" si="43"/>
        <v>0</v>
      </c>
    </row>
    <row r="133" spans="2:16">
      <c r="B133" s="9" t="str">
        <f t="shared" si="44"/>
        <v/>
      </c>
      <c r="C133" s="157">
        <f>IF(D93="","-",+C132+1)</f>
        <v>2045</v>
      </c>
      <c r="D133" s="158">
        <f>IF(F132+SUM(E$99:E132)=D$92,F132,D$92-SUM(E$99:E132))</f>
        <v>336151.61999999988</v>
      </c>
      <c r="E133" s="165">
        <f t="shared" si="35"/>
        <v>32653</v>
      </c>
      <c r="F133" s="163">
        <f t="shared" si="36"/>
        <v>303498.61999999988</v>
      </c>
      <c r="G133" s="163">
        <f t="shared" si="37"/>
        <v>319825.11999999988</v>
      </c>
      <c r="H133" s="167">
        <f t="shared" si="38"/>
        <v>65510.414988687051</v>
      </c>
      <c r="I133" s="312">
        <f t="shared" si="39"/>
        <v>65510.414988687051</v>
      </c>
      <c r="J133" s="162">
        <f t="shared" si="40"/>
        <v>0</v>
      </c>
      <c r="K133" s="162"/>
      <c r="L133" s="330"/>
      <c r="M133" s="162">
        <f t="shared" si="41"/>
        <v>0</v>
      </c>
      <c r="N133" s="330"/>
      <c r="O133" s="162">
        <f t="shared" si="42"/>
        <v>0</v>
      </c>
      <c r="P133" s="162">
        <f t="shared" si="43"/>
        <v>0</v>
      </c>
    </row>
    <row r="134" spans="2:16">
      <c r="B134" s="9" t="str">
        <f t="shared" si="44"/>
        <v/>
      </c>
      <c r="C134" s="157">
        <f>IF(D93="","-",+C133+1)</f>
        <v>2046</v>
      </c>
      <c r="D134" s="158">
        <f>IF(F133+SUM(E$99:E133)=D$92,F133,D$92-SUM(E$99:E133))</f>
        <v>303498.61999999988</v>
      </c>
      <c r="E134" s="165">
        <f t="shared" si="35"/>
        <v>32653</v>
      </c>
      <c r="F134" s="163">
        <f t="shared" si="36"/>
        <v>270845.61999999988</v>
      </c>
      <c r="G134" s="163">
        <f t="shared" si="37"/>
        <v>287172.11999999988</v>
      </c>
      <c r="H134" s="167">
        <f t="shared" si="38"/>
        <v>62155.790525087694</v>
      </c>
      <c r="I134" s="312">
        <f t="shared" si="39"/>
        <v>62155.790525087694</v>
      </c>
      <c r="J134" s="162">
        <f t="shared" si="40"/>
        <v>0</v>
      </c>
      <c r="K134" s="162"/>
      <c r="L134" s="330"/>
      <c r="M134" s="162">
        <f t="shared" si="41"/>
        <v>0</v>
      </c>
      <c r="N134" s="330"/>
      <c r="O134" s="162">
        <f t="shared" si="42"/>
        <v>0</v>
      </c>
      <c r="P134" s="162">
        <f t="shared" si="43"/>
        <v>0</v>
      </c>
    </row>
    <row r="135" spans="2:16">
      <c r="B135" s="9" t="str">
        <f t="shared" si="44"/>
        <v/>
      </c>
      <c r="C135" s="157">
        <f>IF(D93="","-",+C134+1)</f>
        <v>2047</v>
      </c>
      <c r="D135" s="158">
        <f>IF(F134+SUM(E$99:E134)=D$92,F134,D$92-SUM(E$99:E134))</f>
        <v>270845.61999999988</v>
      </c>
      <c r="E135" s="165">
        <f t="shared" si="35"/>
        <v>32653</v>
      </c>
      <c r="F135" s="163">
        <f t="shared" si="36"/>
        <v>238192.61999999988</v>
      </c>
      <c r="G135" s="163">
        <f t="shared" si="37"/>
        <v>254519.11999999988</v>
      </c>
      <c r="H135" s="167">
        <f t="shared" si="38"/>
        <v>58801.166061488344</v>
      </c>
      <c r="I135" s="312">
        <f t="shared" si="39"/>
        <v>58801.166061488344</v>
      </c>
      <c r="J135" s="162">
        <f t="shared" si="40"/>
        <v>0</v>
      </c>
      <c r="K135" s="162"/>
      <c r="L135" s="330"/>
      <c r="M135" s="162">
        <f t="shared" si="41"/>
        <v>0</v>
      </c>
      <c r="N135" s="330"/>
      <c r="O135" s="162">
        <f t="shared" si="42"/>
        <v>0</v>
      </c>
      <c r="P135" s="162">
        <f t="shared" si="43"/>
        <v>0</v>
      </c>
    </row>
    <row r="136" spans="2:16">
      <c r="B136" s="9" t="str">
        <f t="shared" si="44"/>
        <v/>
      </c>
      <c r="C136" s="157">
        <f>IF(D93="","-",+C135+1)</f>
        <v>2048</v>
      </c>
      <c r="D136" s="158">
        <f>IF(F135+SUM(E$99:E135)=D$92,F135,D$92-SUM(E$99:E135))</f>
        <v>238192.61999999988</v>
      </c>
      <c r="E136" s="165">
        <f t="shared" si="35"/>
        <v>32653</v>
      </c>
      <c r="F136" s="163">
        <f t="shared" si="36"/>
        <v>205539.61999999988</v>
      </c>
      <c r="G136" s="163">
        <f t="shared" si="37"/>
        <v>221866.11999999988</v>
      </c>
      <c r="H136" s="167">
        <f t="shared" si="38"/>
        <v>55446.541597888994</v>
      </c>
      <c r="I136" s="312">
        <f t="shared" si="39"/>
        <v>55446.541597888994</v>
      </c>
      <c r="J136" s="162">
        <f t="shared" si="40"/>
        <v>0</v>
      </c>
      <c r="K136" s="162"/>
      <c r="L136" s="330"/>
      <c r="M136" s="162">
        <f t="shared" si="41"/>
        <v>0</v>
      </c>
      <c r="N136" s="330"/>
      <c r="O136" s="162">
        <f t="shared" si="42"/>
        <v>0</v>
      </c>
      <c r="P136" s="162">
        <f t="shared" si="43"/>
        <v>0</v>
      </c>
    </row>
    <row r="137" spans="2:16">
      <c r="B137" s="9" t="str">
        <f t="shared" si="44"/>
        <v/>
      </c>
      <c r="C137" s="157">
        <f>IF(D93="","-",+C136+1)</f>
        <v>2049</v>
      </c>
      <c r="D137" s="158">
        <f>IF(F136+SUM(E$99:E136)=D$92,F136,D$92-SUM(E$99:E136))</f>
        <v>205539.61999999988</v>
      </c>
      <c r="E137" s="165">
        <f t="shared" si="35"/>
        <v>32653</v>
      </c>
      <c r="F137" s="163">
        <f t="shared" si="36"/>
        <v>172886.61999999988</v>
      </c>
      <c r="G137" s="163">
        <f t="shared" si="37"/>
        <v>189213.11999999988</v>
      </c>
      <c r="H137" s="167">
        <f t="shared" si="38"/>
        <v>52091.917134289637</v>
      </c>
      <c r="I137" s="312">
        <f t="shared" si="39"/>
        <v>52091.917134289637</v>
      </c>
      <c r="J137" s="162">
        <f t="shared" si="40"/>
        <v>0</v>
      </c>
      <c r="K137" s="162"/>
      <c r="L137" s="330"/>
      <c r="M137" s="162">
        <f t="shared" si="41"/>
        <v>0</v>
      </c>
      <c r="N137" s="330"/>
      <c r="O137" s="162">
        <f t="shared" si="42"/>
        <v>0</v>
      </c>
      <c r="P137" s="162">
        <f t="shared" si="43"/>
        <v>0</v>
      </c>
    </row>
    <row r="138" spans="2:16">
      <c r="B138" s="9" t="str">
        <f t="shared" si="44"/>
        <v/>
      </c>
      <c r="C138" s="157">
        <f>IF(D93="","-",+C137+1)</f>
        <v>2050</v>
      </c>
      <c r="D138" s="158">
        <f>IF(F137+SUM(E$99:E137)=D$92,F137,D$92-SUM(E$99:E137))</f>
        <v>172886.61999999988</v>
      </c>
      <c r="E138" s="165">
        <f t="shared" si="35"/>
        <v>32653</v>
      </c>
      <c r="F138" s="163">
        <f t="shared" si="36"/>
        <v>140233.61999999988</v>
      </c>
      <c r="G138" s="163">
        <f t="shared" si="37"/>
        <v>156560.11999999988</v>
      </c>
      <c r="H138" s="167">
        <f t="shared" si="38"/>
        <v>48737.292670690287</v>
      </c>
      <c r="I138" s="312">
        <f t="shared" si="39"/>
        <v>48737.292670690287</v>
      </c>
      <c r="J138" s="162">
        <f t="shared" si="40"/>
        <v>0</v>
      </c>
      <c r="K138" s="162"/>
      <c r="L138" s="330"/>
      <c r="M138" s="162">
        <f t="shared" si="41"/>
        <v>0</v>
      </c>
      <c r="N138" s="330"/>
      <c r="O138" s="162">
        <f t="shared" si="42"/>
        <v>0</v>
      </c>
      <c r="P138" s="162">
        <f t="shared" si="43"/>
        <v>0</v>
      </c>
    </row>
    <row r="139" spans="2:16">
      <c r="B139" s="9" t="str">
        <f t="shared" si="44"/>
        <v/>
      </c>
      <c r="C139" s="157">
        <f>IF(D93="","-",+C138+1)</f>
        <v>2051</v>
      </c>
      <c r="D139" s="158">
        <f>IF(F138+SUM(E$99:E138)=D$92,F138,D$92-SUM(E$99:E138))</f>
        <v>140233.61999999988</v>
      </c>
      <c r="E139" s="165">
        <f t="shared" si="35"/>
        <v>32653</v>
      </c>
      <c r="F139" s="163">
        <f t="shared" si="36"/>
        <v>107580.61999999988</v>
      </c>
      <c r="G139" s="163">
        <f t="shared" si="37"/>
        <v>123907.11999999988</v>
      </c>
      <c r="H139" s="167">
        <f t="shared" si="38"/>
        <v>45382.66820709093</v>
      </c>
      <c r="I139" s="312">
        <f t="shared" si="39"/>
        <v>45382.66820709093</v>
      </c>
      <c r="J139" s="162">
        <f t="shared" si="40"/>
        <v>0</v>
      </c>
      <c r="K139" s="162"/>
      <c r="L139" s="330"/>
      <c r="M139" s="162">
        <f t="shared" si="41"/>
        <v>0</v>
      </c>
      <c r="N139" s="330"/>
      <c r="O139" s="162">
        <f t="shared" si="42"/>
        <v>0</v>
      </c>
      <c r="P139" s="162">
        <f t="shared" si="43"/>
        <v>0</v>
      </c>
    </row>
    <row r="140" spans="2:16">
      <c r="B140" s="9" t="str">
        <f t="shared" si="44"/>
        <v/>
      </c>
      <c r="C140" s="157">
        <f>IF(D93="","-",+C139+1)</f>
        <v>2052</v>
      </c>
      <c r="D140" s="158">
        <f>IF(F139+SUM(E$99:E139)=D$92,F139,D$92-SUM(E$99:E139))</f>
        <v>107580.61999999988</v>
      </c>
      <c r="E140" s="165">
        <f t="shared" si="35"/>
        <v>32653</v>
      </c>
      <c r="F140" s="163">
        <f t="shared" si="36"/>
        <v>74927.619999999879</v>
      </c>
      <c r="G140" s="163">
        <f t="shared" si="37"/>
        <v>91254.119999999879</v>
      </c>
      <c r="H140" s="167">
        <f t="shared" si="38"/>
        <v>42028.04374349158</v>
      </c>
      <c r="I140" s="312">
        <f t="shared" si="39"/>
        <v>42028.04374349158</v>
      </c>
      <c r="J140" s="162">
        <f t="shared" si="40"/>
        <v>0</v>
      </c>
      <c r="K140" s="162"/>
      <c r="L140" s="330"/>
      <c r="M140" s="162">
        <f t="shared" si="41"/>
        <v>0</v>
      </c>
      <c r="N140" s="330"/>
      <c r="O140" s="162">
        <f t="shared" si="42"/>
        <v>0</v>
      </c>
      <c r="P140" s="162">
        <f t="shared" si="43"/>
        <v>0</v>
      </c>
    </row>
    <row r="141" spans="2:16">
      <c r="B141" s="9" t="str">
        <f t="shared" si="44"/>
        <v/>
      </c>
      <c r="C141" s="157">
        <f>IF(D93="","-",+C140+1)</f>
        <v>2053</v>
      </c>
      <c r="D141" s="158">
        <f>IF(F140+SUM(E$99:E140)=D$92,F140,D$92-SUM(E$99:E140))</f>
        <v>74927.619999999879</v>
      </c>
      <c r="E141" s="165">
        <f t="shared" si="35"/>
        <v>32653</v>
      </c>
      <c r="F141" s="163">
        <f t="shared" si="36"/>
        <v>42274.619999999879</v>
      </c>
      <c r="G141" s="163">
        <f t="shared" si="37"/>
        <v>58601.119999999879</v>
      </c>
      <c r="H141" s="167">
        <f t="shared" si="38"/>
        <v>38673.41927989223</v>
      </c>
      <c r="I141" s="312">
        <f t="shared" si="39"/>
        <v>38673.41927989223</v>
      </c>
      <c r="J141" s="162">
        <f t="shared" si="40"/>
        <v>0</v>
      </c>
      <c r="K141" s="162"/>
      <c r="L141" s="330"/>
      <c r="M141" s="162">
        <f t="shared" si="41"/>
        <v>0</v>
      </c>
      <c r="N141" s="330"/>
      <c r="O141" s="162">
        <f t="shared" si="42"/>
        <v>0</v>
      </c>
      <c r="P141" s="162">
        <f t="shared" si="43"/>
        <v>0</v>
      </c>
    </row>
    <row r="142" spans="2:16">
      <c r="B142" s="9" t="str">
        <f t="shared" si="44"/>
        <v/>
      </c>
      <c r="C142" s="157">
        <f>IF(D93="","-",+C141+1)</f>
        <v>2054</v>
      </c>
      <c r="D142" s="158">
        <f>IF(F141+SUM(E$99:E141)=D$92,F141,D$92-SUM(E$99:E141))</f>
        <v>42274.619999999879</v>
      </c>
      <c r="E142" s="165">
        <f t="shared" si="35"/>
        <v>32653</v>
      </c>
      <c r="F142" s="163">
        <f t="shared" si="36"/>
        <v>9621.6199999998789</v>
      </c>
      <c r="G142" s="163">
        <f t="shared" si="37"/>
        <v>25948.119999999879</v>
      </c>
      <c r="H142" s="167">
        <f t="shared" si="38"/>
        <v>35318.794816292873</v>
      </c>
      <c r="I142" s="312">
        <f t="shared" si="39"/>
        <v>35318.794816292873</v>
      </c>
      <c r="J142" s="162">
        <f t="shared" si="40"/>
        <v>0</v>
      </c>
      <c r="K142" s="162"/>
      <c r="L142" s="330"/>
      <c r="M142" s="162">
        <f t="shared" si="41"/>
        <v>0</v>
      </c>
      <c r="N142" s="330"/>
      <c r="O142" s="162">
        <f t="shared" si="42"/>
        <v>0</v>
      </c>
      <c r="P142" s="162">
        <f t="shared" si="43"/>
        <v>0</v>
      </c>
    </row>
    <row r="143" spans="2:16">
      <c r="B143" s="9" t="str">
        <f t="shared" si="44"/>
        <v/>
      </c>
      <c r="C143" s="157">
        <f>IF(D93="","-",+C142+1)</f>
        <v>2055</v>
      </c>
      <c r="D143" s="158">
        <f>IF(F142+SUM(E$99:E142)=D$92,F142,D$92-SUM(E$99:E142))</f>
        <v>9621.6199999998789</v>
      </c>
      <c r="E143" s="165">
        <f t="shared" si="35"/>
        <v>9621.6199999998789</v>
      </c>
      <c r="F143" s="163">
        <f t="shared" si="36"/>
        <v>0</v>
      </c>
      <c r="G143" s="163">
        <f t="shared" si="37"/>
        <v>4810.8099999999395</v>
      </c>
      <c r="H143" s="167">
        <f t="shared" si="38"/>
        <v>10115.861292246478</v>
      </c>
      <c r="I143" s="312">
        <f t="shared" si="39"/>
        <v>10115.861292246478</v>
      </c>
      <c r="J143" s="162">
        <f t="shared" si="40"/>
        <v>0</v>
      </c>
      <c r="K143" s="162"/>
      <c r="L143" s="330"/>
      <c r="M143" s="162">
        <f t="shared" si="41"/>
        <v>0</v>
      </c>
      <c r="N143" s="330"/>
      <c r="O143" s="162">
        <f t="shared" si="42"/>
        <v>0</v>
      </c>
      <c r="P143" s="162">
        <f t="shared" si="43"/>
        <v>0</v>
      </c>
    </row>
    <row r="144" spans="2:16">
      <c r="B144" s="9" t="str">
        <f t="shared" si="44"/>
        <v/>
      </c>
      <c r="C144" s="157">
        <f>IF(D93="","-",+C143+1)</f>
        <v>2056</v>
      </c>
      <c r="D144" s="158">
        <f>IF(F143+SUM(E$99:E143)=D$92,F143,D$92-SUM(E$99:E143))</f>
        <v>0</v>
      </c>
      <c r="E144" s="165">
        <f t="shared" si="35"/>
        <v>0</v>
      </c>
      <c r="F144" s="163">
        <f t="shared" si="36"/>
        <v>0</v>
      </c>
      <c r="G144" s="163">
        <f t="shared" si="37"/>
        <v>0</v>
      </c>
      <c r="H144" s="167">
        <f t="shared" si="38"/>
        <v>0</v>
      </c>
      <c r="I144" s="312">
        <f t="shared" si="39"/>
        <v>0</v>
      </c>
      <c r="J144" s="162">
        <f t="shared" si="40"/>
        <v>0</v>
      </c>
      <c r="K144" s="162"/>
      <c r="L144" s="330"/>
      <c r="M144" s="162">
        <f t="shared" si="41"/>
        <v>0</v>
      </c>
      <c r="N144" s="330"/>
      <c r="O144" s="162">
        <f t="shared" si="42"/>
        <v>0</v>
      </c>
      <c r="P144" s="162">
        <f t="shared" si="43"/>
        <v>0</v>
      </c>
    </row>
    <row r="145" spans="2:16">
      <c r="B145" s="9" t="str">
        <f t="shared" si="44"/>
        <v/>
      </c>
      <c r="C145" s="157">
        <f>IF(D93="","-",+C144+1)</f>
        <v>2057</v>
      </c>
      <c r="D145" s="158">
        <f>IF(F144+SUM(E$99:E144)=D$92,F144,D$92-SUM(E$99:E144))</f>
        <v>0</v>
      </c>
      <c r="E145" s="165">
        <f t="shared" si="35"/>
        <v>0</v>
      </c>
      <c r="F145" s="163">
        <f t="shared" si="36"/>
        <v>0</v>
      </c>
      <c r="G145" s="163">
        <f t="shared" si="37"/>
        <v>0</v>
      </c>
      <c r="H145" s="167">
        <f t="shared" si="38"/>
        <v>0</v>
      </c>
      <c r="I145" s="312">
        <f t="shared" si="39"/>
        <v>0</v>
      </c>
      <c r="J145" s="162">
        <f t="shared" si="40"/>
        <v>0</v>
      </c>
      <c r="K145" s="162"/>
      <c r="L145" s="330"/>
      <c r="M145" s="162">
        <f t="shared" si="41"/>
        <v>0</v>
      </c>
      <c r="N145" s="330"/>
      <c r="O145" s="162">
        <f t="shared" si="42"/>
        <v>0</v>
      </c>
      <c r="P145" s="162">
        <f t="shared" si="43"/>
        <v>0</v>
      </c>
    </row>
    <row r="146" spans="2:16">
      <c r="B146" s="9" t="str">
        <f t="shared" si="44"/>
        <v/>
      </c>
      <c r="C146" s="157">
        <f>IF(D93="","-",+C145+1)</f>
        <v>2058</v>
      </c>
      <c r="D146" s="158">
        <f>IF(F145+SUM(E$99:E145)=D$92,F145,D$92-SUM(E$99:E145))</f>
        <v>0</v>
      </c>
      <c r="E146" s="165">
        <f t="shared" si="35"/>
        <v>0</v>
      </c>
      <c r="F146" s="163">
        <f t="shared" si="36"/>
        <v>0</v>
      </c>
      <c r="G146" s="163">
        <f t="shared" si="37"/>
        <v>0</v>
      </c>
      <c r="H146" s="167">
        <f t="shared" si="38"/>
        <v>0</v>
      </c>
      <c r="I146" s="312">
        <f t="shared" si="39"/>
        <v>0</v>
      </c>
      <c r="J146" s="162">
        <f t="shared" si="40"/>
        <v>0</v>
      </c>
      <c r="K146" s="162"/>
      <c r="L146" s="330"/>
      <c r="M146" s="162">
        <f t="shared" si="41"/>
        <v>0</v>
      </c>
      <c r="N146" s="330"/>
      <c r="O146" s="162">
        <f t="shared" si="42"/>
        <v>0</v>
      </c>
      <c r="P146" s="162">
        <f t="shared" si="43"/>
        <v>0</v>
      </c>
    </row>
    <row r="147" spans="2:16">
      <c r="B147" s="9" t="str">
        <f t="shared" si="44"/>
        <v/>
      </c>
      <c r="C147" s="157">
        <f>IF(D93="","-",+C146+1)</f>
        <v>2059</v>
      </c>
      <c r="D147" s="158">
        <f>IF(F146+SUM(E$99:E146)=D$92,F146,D$92-SUM(E$99:E146))</f>
        <v>0</v>
      </c>
      <c r="E147" s="165">
        <f t="shared" si="35"/>
        <v>0</v>
      </c>
      <c r="F147" s="163">
        <f t="shared" si="36"/>
        <v>0</v>
      </c>
      <c r="G147" s="163">
        <f t="shared" si="37"/>
        <v>0</v>
      </c>
      <c r="H147" s="167">
        <f t="shared" si="38"/>
        <v>0</v>
      </c>
      <c r="I147" s="312">
        <f t="shared" si="39"/>
        <v>0</v>
      </c>
      <c r="J147" s="162">
        <f t="shared" si="40"/>
        <v>0</v>
      </c>
      <c r="K147" s="162"/>
      <c r="L147" s="330"/>
      <c r="M147" s="162">
        <f t="shared" si="41"/>
        <v>0</v>
      </c>
      <c r="N147" s="330"/>
      <c r="O147" s="162">
        <f t="shared" si="42"/>
        <v>0</v>
      </c>
      <c r="P147" s="162">
        <f t="shared" si="43"/>
        <v>0</v>
      </c>
    </row>
    <row r="148" spans="2:16">
      <c r="B148" s="9" t="str">
        <f t="shared" si="44"/>
        <v/>
      </c>
      <c r="C148" s="157">
        <f>IF(D93="","-",+C147+1)</f>
        <v>2060</v>
      </c>
      <c r="D148" s="158">
        <f>IF(F147+SUM(E$99:E147)=D$92,F147,D$92-SUM(E$99:E147))</f>
        <v>0</v>
      </c>
      <c r="E148" s="165">
        <f t="shared" si="35"/>
        <v>0</v>
      </c>
      <c r="F148" s="163">
        <f t="shared" si="36"/>
        <v>0</v>
      </c>
      <c r="G148" s="163">
        <f t="shared" si="37"/>
        <v>0</v>
      </c>
      <c r="H148" s="167">
        <f t="shared" si="38"/>
        <v>0</v>
      </c>
      <c r="I148" s="312">
        <f t="shared" si="39"/>
        <v>0</v>
      </c>
      <c r="J148" s="162">
        <f t="shared" si="40"/>
        <v>0</v>
      </c>
      <c r="K148" s="162"/>
      <c r="L148" s="330"/>
      <c r="M148" s="162">
        <f t="shared" si="41"/>
        <v>0</v>
      </c>
      <c r="N148" s="330"/>
      <c r="O148" s="162">
        <f t="shared" si="42"/>
        <v>0</v>
      </c>
      <c r="P148" s="162">
        <f t="shared" si="43"/>
        <v>0</v>
      </c>
    </row>
    <row r="149" spans="2:16">
      <c r="B149" s="9" t="str">
        <f t="shared" si="44"/>
        <v/>
      </c>
      <c r="C149" s="157">
        <f>IF(D93="","-",+C148+1)</f>
        <v>2061</v>
      </c>
      <c r="D149" s="158">
        <f>IF(F148+SUM(E$99:E148)=D$92,F148,D$92-SUM(E$99:E148))</f>
        <v>0</v>
      </c>
      <c r="E149" s="165">
        <f t="shared" si="35"/>
        <v>0</v>
      </c>
      <c r="F149" s="163">
        <f t="shared" si="36"/>
        <v>0</v>
      </c>
      <c r="G149" s="163">
        <f t="shared" si="37"/>
        <v>0</v>
      </c>
      <c r="H149" s="167">
        <f t="shared" si="38"/>
        <v>0</v>
      </c>
      <c r="I149" s="312">
        <f t="shared" si="39"/>
        <v>0</v>
      </c>
      <c r="J149" s="162">
        <f t="shared" si="40"/>
        <v>0</v>
      </c>
      <c r="K149" s="162"/>
      <c r="L149" s="330"/>
      <c r="M149" s="162">
        <f t="shared" si="41"/>
        <v>0</v>
      </c>
      <c r="N149" s="330"/>
      <c r="O149" s="162">
        <f t="shared" si="42"/>
        <v>0</v>
      </c>
      <c r="P149" s="162">
        <f t="shared" si="43"/>
        <v>0</v>
      </c>
    </row>
    <row r="150" spans="2:16">
      <c r="B150" s="9" t="str">
        <f t="shared" si="44"/>
        <v/>
      </c>
      <c r="C150" s="157">
        <f>IF(D93="","-",+C149+1)</f>
        <v>2062</v>
      </c>
      <c r="D150" s="158">
        <f>IF(F149+SUM(E$99:E149)=D$92,F149,D$92-SUM(E$99:E149))</f>
        <v>0</v>
      </c>
      <c r="E150" s="165">
        <f t="shared" si="35"/>
        <v>0</v>
      </c>
      <c r="F150" s="163">
        <f t="shared" si="36"/>
        <v>0</v>
      </c>
      <c r="G150" s="163">
        <f t="shared" si="37"/>
        <v>0</v>
      </c>
      <c r="H150" s="167">
        <f t="shared" si="38"/>
        <v>0</v>
      </c>
      <c r="I150" s="312">
        <f t="shared" si="39"/>
        <v>0</v>
      </c>
      <c r="J150" s="162">
        <f t="shared" si="40"/>
        <v>0</v>
      </c>
      <c r="K150" s="162"/>
      <c r="L150" s="330"/>
      <c r="M150" s="162">
        <f t="shared" si="41"/>
        <v>0</v>
      </c>
      <c r="N150" s="330"/>
      <c r="O150" s="162">
        <f t="shared" si="42"/>
        <v>0</v>
      </c>
      <c r="P150" s="162">
        <f t="shared" si="43"/>
        <v>0</v>
      </c>
    </row>
    <row r="151" spans="2:16">
      <c r="B151" s="9" t="str">
        <f t="shared" si="44"/>
        <v/>
      </c>
      <c r="C151" s="157">
        <f>IF(D93="","-",+C150+1)</f>
        <v>2063</v>
      </c>
      <c r="D151" s="158">
        <f>IF(F150+SUM(E$99:E150)=D$92,F150,D$92-SUM(E$99:E150))</f>
        <v>0</v>
      </c>
      <c r="E151" s="165">
        <f t="shared" si="35"/>
        <v>0</v>
      </c>
      <c r="F151" s="163">
        <f t="shared" si="36"/>
        <v>0</v>
      </c>
      <c r="G151" s="163">
        <f t="shared" si="37"/>
        <v>0</v>
      </c>
      <c r="H151" s="167">
        <f t="shared" si="38"/>
        <v>0</v>
      </c>
      <c r="I151" s="312">
        <f t="shared" si="39"/>
        <v>0</v>
      </c>
      <c r="J151" s="162">
        <f t="shared" si="40"/>
        <v>0</v>
      </c>
      <c r="K151" s="162"/>
      <c r="L151" s="330"/>
      <c r="M151" s="162">
        <f t="shared" si="41"/>
        <v>0</v>
      </c>
      <c r="N151" s="330"/>
      <c r="O151" s="162">
        <f t="shared" si="42"/>
        <v>0</v>
      </c>
      <c r="P151" s="162">
        <f t="shared" si="43"/>
        <v>0</v>
      </c>
    </row>
    <row r="152" spans="2:16">
      <c r="B152" s="9" t="str">
        <f t="shared" si="44"/>
        <v/>
      </c>
      <c r="C152" s="157">
        <f>IF(D93="","-",+C151+1)</f>
        <v>2064</v>
      </c>
      <c r="D152" s="158">
        <f>IF(F151+SUM(E$99:E151)=D$92,F151,D$92-SUM(E$99:E151))</f>
        <v>0</v>
      </c>
      <c r="E152" s="165">
        <f t="shared" si="35"/>
        <v>0</v>
      </c>
      <c r="F152" s="163">
        <f t="shared" si="36"/>
        <v>0</v>
      </c>
      <c r="G152" s="163">
        <f t="shared" si="37"/>
        <v>0</v>
      </c>
      <c r="H152" s="167">
        <f t="shared" si="38"/>
        <v>0</v>
      </c>
      <c r="I152" s="312">
        <f t="shared" si="39"/>
        <v>0</v>
      </c>
      <c r="J152" s="162">
        <f t="shared" si="40"/>
        <v>0</v>
      </c>
      <c r="K152" s="162"/>
      <c r="L152" s="330"/>
      <c r="M152" s="162">
        <f t="shared" si="41"/>
        <v>0</v>
      </c>
      <c r="N152" s="330"/>
      <c r="O152" s="162">
        <f t="shared" si="42"/>
        <v>0</v>
      </c>
      <c r="P152" s="162">
        <f t="shared" si="43"/>
        <v>0</v>
      </c>
    </row>
    <row r="153" spans="2:16">
      <c r="B153" s="9" t="str">
        <f t="shared" si="44"/>
        <v/>
      </c>
      <c r="C153" s="157">
        <f>IF(D93="","-",+C152+1)</f>
        <v>2065</v>
      </c>
      <c r="D153" s="158">
        <f>IF(F152+SUM(E$99:E152)=D$92,F152,D$92-SUM(E$99:E152))</f>
        <v>0</v>
      </c>
      <c r="E153" s="165">
        <f t="shared" si="35"/>
        <v>0</v>
      </c>
      <c r="F153" s="163">
        <f t="shared" si="36"/>
        <v>0</v>
      </c>
      <c r="G153" s="163">
        <f t="shared" si="37"/>
        <v>0</v>
      </c>
      <c r="H153" s="167">
        <f t="shared" si="38"/>
        <v>0</v>
      </c>
      <c r="I153" s="312">
        <f t="shared" si="39"/>
        <v>0</v>
      </c>
      <c r="J153" s="162">
        <f t="shared" si="40"/>
        <v>0</v>
      </c>
      <c r="K153" s="162"/>
      <c r="L153" s="330"/>
      <c r="M153" s="162">
        <f t="shared" si="41"/>
        <v>0</v>
      </c>
      <c r="N153" s="330"/>
      <c r="O153" s="162">
        <f t="shared" si="42"/>
        <v>0</v>
      </c>
      <c r="P153" s="162">
        <f t="shared" si="43"/>
        <v>0</v>
      </c>
    </row>
    <row r="154" spans="2:16" ht="13.5" thickBot="1">
      <c r="B154" s="9" t="str">
        <f t="shared" si="44"/>
        <v/>
      </c>
      <c r="C154" s="168">
        <f>IF(D93="","-",+C153+1)</f>
        <v>2066</v>
      </c>
      <c r="D154" s="383">
        <f>IF(F153+SUM(E$99:E153)=D$92,F153,D$92-SUM(E$99:E153))</f>
        <v>0</v>
      </c>
      <c r="E154" s="372">
        <f t="shared" si="35"/>
        <v>0</v>
      </c>
      <c r="F154" s="169">
        <f t="shared" si="36"/>
        <v>0</v>
      </c>
      <c r="G154" s="169">
        <f t="shared" si="37"/>
        <v>0</v>
      </c>
      <c r="H154" s="171">
        <f t="shared" si="38"/>
        <v>0</v>
      </c>
      <c r="I154" s="313">
        <f t="shared" si="39"/>
        <v>0</v>
      </c>
      <c r="J154" s="173">
        <f t="shared" si="40"/>
        <v>0</v>
      </c>
      <c r="K154" s="162"/>
      <c r="L154" s="331"/>
      <c r="M154" s="173">
        <f t="shared" si="41"/>
        <v>0</v>
      </c>
      <c r="N154" s="331"/>
      <c r="O154" s="173">
        <f t="shared" si="42"/>
        <v>0</v>
      </c>
      <c r="P154" s="173">
        <f t="shared" si="43"/>
        <v>0</v>
      </c>
    </row>
    <row r="155" spans="2:16">
      <c r="C155" s="158" t="s">
        <v>77</v>
      </c>
      <c r="D155" s="115"/>
      <c r="E155" s="115">
        <f>SUM(E99:E154)</f>
        <v>1404099.6199999999</v>
      </c>
      <c r="F155" s="115"/>
      <c r="G155" s="115"/>
      <c r="H155" s="115">
        <f>SUM(H99:H154)</f>
        <v>4935651.9705689289</v>
      </c>
      <c r="I155" s="115">
        <f>SUM(I99:I154)</f>
        <v>4935651.9705689289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40" priority="1" stopIfTrue="1" operator="equal">
      <formula>$I$10</formula>
    </cfRule>
  </conditionalFormatting>
  <conditionalFormatting sqref="C99:C154">
    <cfRule type="cellIs" dxfId="3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view="pageBreakPreview" zoomScale="75" zoomScaleNormal="100" workbookViewId="0">
      <selection activeCell="D23" sqref="D23:H23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8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12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467887.49199999997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467887.49199999997</v>
      </c>
      <c r="O6" s="1"/>
      <c r="P6" s="1"/>
    </row>
    <row r="7" spans="1:16" ht="13.5" thickBot="1">
      <c r="C7" s="127" t="s">
        <v>46</v>
      </c>
      <c r="D7" s="338" t="s">
        <v>237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377" t="s">
        <v>236</v>
      </c>
      <c r="E9" s="406" t="s">
        <v>295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3305767.14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2012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10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73461.491999999998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2012</v>
      </c>
      <c r="D17" s="361">
        <v>1132400</v>
      </c>
      <c r="E17" s="362">
        <v>3629.4871794871797</v>
      </c>
      <c r="F17" s="361">
        <v>1128770.5128205128</v>
      </c>
      <c r="G17" s="362">
        <v>160761.94360740471</v>
      </c>
      <c r="H17" s="365">
        <v>160761.94360740471</v>
      </c>
      <c r="I17" s="160">
        <f t="shared" ref="I17:I48" si="0">H17-G17</f>
        <v>0</v>
      </c>
      <c r="J17" s="160"/>
      <c r="K17" s="332">
        <f t="shared" ref="K17:K22" si="1">G17</f>
        <v>160761.94360740471</v>
      </c>
      <c r="L17" s="176">
        <f t="shared" ref="L17:L48" si="2">IF(K17&lt;&gt;0,+G17-K17,0)</f>
        <v>0</v>
      </c>
      <c r="M17" s="332">
        <f t="shared" ref="M17:M22" si="3">H17</f>
        <v>160761.94360740471</v>
      </c>
      <c r="N17" s="353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>IU</v>
      </c>
      <c r="C18" s="157">
        <f>IF(D11="","-",+C17+1)</f>
        <v>2013</v>
      </c>
      <c r="D18" s="361">
        <v>2746405</v>
      </c>
      <c r="E18" s="363">
        <v>52885</v>
      </c>
      <c r="F18" s="361">
        <v>2693519</v>
      </c>
      <c r="G18" s="363">
        <v>437538</v>
      </c>
      <c r="H18" s="365">
        <v>437538</v>
      </c>
      <c r="I18" s="160">
        <f t="shared" si="0"/>
        <v>0</v>
      </c>
      <c r="J18" s="160"/>
      <c r="K18" s="333">
        <f t="shared" si="1"/>
        <v>437538</v>
      </c>
      <c r="L18" s="269">
        <f t="shared" ref="L18:L23" si="7">IF(K18&lt;&gt;0,+G18-K18,0)</f>
        <v>0</v>
      </c>
      <c r="M18" s="333">
        <f t="shared" si="3"/>
        <v>437538</v>
      </c>
      <c r="N18" s="162">
        <f t="shared" ref="N18:N23" si="8">IF(M18&lt;&gt;0,+H18-M18,0)</f>
        <v>0</v>
      </c>
      <c r="O18" s="162">
        <f t="shared" ref="O18:O23" si="9">+N18-L18</f>
        <v>0</v>
      </c>
      <c r="P18" s="4"/>
    </row>
    <row r="19" spans="2:16">
      <c r="B19" s="9" t="str">
        <f t="shared" si="6"/>
        <v>IU</v>
      </c>
      <c r="C19" s="157">
        <f>IF(D11="","-",+C18+1)</f>
        <v>2014</v>
      </c>
      <c r="D19" s="361">
        <v>3185619.512820513</v>
      </c>
      <c r="E19" s="363">
        <v>62348.730769230766</v>
      </c>
      <c r="F19" s="361">
        <v>3123270.782051282</v>
      </c>
      <c r="G19" s="363">
        <v>492294.73076923075</v>
      </c>
      <c r="H19" s="365">
        <v>492294.73076923075</v>
      </c>
      <c r="I19" s="160">
        <v>0</v>
      </c>
      <c r="J19" s="160"/>
      <c r="K19" s="333">
        <f t="shared" si="1"/>
        <v>492294.73076923075</v>
      </c>
      <c r="L19" s="269">
        <f t="shared" si="7"/>
        <v>0</v>
      </c>
      <c r="M19" s="333">
        <f t="shared" si="3"/>
        <v>492294.73076923075</v>
      </c>
      <c r="N19" s="162">
        <f t="shared" si="8"/>
        <v>0</v>
      </c>
      <c r="O19" s="162">
        <f t="shared" si="9"/>
        <v>0</v>
      </c>
      <c r="P19" s="4"/>
    </row>
    <row r="20" spans="2:16">
      <c r="B20" s="9" t="str">
        <f t="shared" si="6"/>
        <v>IU</v>
      </c>
      <c r="C20" s="157">
        <f>IF(D11="","-",+C19+1)</f>
        <v>2015</v>
      </c>
      <c r="D20" s="361">
        <v>3186903.9220512821</v>
      </c>
      <c r="E20" s="363">
        <v>63572.445</v>
      </c>
      <c r="F20" s="361">
        <v>3123331.4770512823</v>
      </c>
      <c r="G20" s="363">
        <v>494191.44500000001</v>
      </c>
      <c r="H20" s="365">
        <v>494191.44500000001</v>
      </c>
      <c r="I20" s="160">
        <v>0</v>
      </c>
      <c r="J20" s="160"/>
      <c r="K20" s="333">
        <f t="shared" si="1"/>
        <v>494191.44500000001</v>
      </c>
      <c r="L20" s="269">
        <f t="shared" si="7"/>
        <v>0</v>
      </c>
      <c r="M20" s="333">
        <f t="shared" si="3"/>
        <v>494191.44500000001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6"/>
        <v/>
      </c>
      <c r="C21" s="157">
        <f>IF(D11="","-",+C20+1)</f>
        <v>2016</v>
      </c>
      <c r="D21" s="361">
        <v>3123331.4770512823</v>
      </c>
      <c r="E21" s="363">
        <v>63572.445</v>
      </c>
      <c r="F21" s="361">
        <v>3059759.0320512825</v>
      </c>
      <c r="G21" s="363">
        <v>464889.44500000001</v>
      </c>
      <c r="H21" s="365">
        <v>464889.44500000001</v>
      </c>
      <c r="I21" s="160">
        <f t="shared" si="0"/>
        <v>0</v>
      </c>
      <c r="J21" s="160"/>
      <c r="K21" s="333">
        <f t="shared" si="1"/>
        <v>464889.44500000001</v>
      </c>
      <c r="L21" s="269">
        <f t="shared" si="7"/>
        <v>0</v>
      </c>
      <c r="M21" s="333">
        <f t="shared" si="3"/>
        <v>464889.44500000001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2017</v>
      </c>
      <c r="D22" s="361">
        <v>3059759.0320512825</v>
      </c>
      <c r="E22" s="363">
        <v>71864.503043478268</v>
      </c>
      <c r="F22" s="361">
        <v>2987894.5290078041</v>
      </c>
      <c r="G22" s="363">
        <v>452105.50304347824</v>
      </c>
      <c r="H22" s="365">
        <v>452105.50304347824</v>
      </c>
      <c r="I22" s="160">
        <f t="shared" si="0"/>
        <v>0</v>
      </c>
      <c r="J22" s="160"/>
      <c r="K22" s="333">
        <f t="shared" si="1"/>
        <v>452105.50304347824</v>
      </c>
      <c r="L22" s="269">
        <f t="shared" si="7"/>
        <v>0</v>
      </c>
      <c r="M22" s="333">
        <f t="shared" si="3"/>
        <v>452105.50304347824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2018</v>
      </c>
      <c r="D23" s="361">
        <v>2987894.5290078041</v>
      </c>
      <c r="E23" s="363">
        <v>73461.491999999998</v>
      </c>
      <c r="F23" s="361">
        <v>2914433.037007804</v>
      </c>
      <c r="G23" s="363">
        <v>467887.49199999997</v>
      </c>
      <c r="H23" s="365">
        <v>467887.49199999997</v>
      </c>
      <c r="I23" s="160">
        <f t="shared" si="0"/>
        <v>0</v>
      </c>
      <c r="J23" s="160"/>
      <c r="K23" s="333">
        <f>G23</f>
        <v>467887.49199999997</v>
      </c>
      <c r="L23" s="269">
        <f t="shared" si="7"/>
        <v>0</v>
      </c>
      <c r="M23" s="333">
        <f>H23</f>
        <v>467887.49199999997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2019</v>
      </c>
      <c r="D24" s="163">
        <f>IF(F23+SUM(E$17:E23)=D$10,F23,D$10-SUM(E$17:E23))</f>
        <v>2914433.037007804</v>
      </c>
      <c r="E24" s="164">
        <f>IF(+I14&lt;F23,I14,D24)</f>
        <v>73461.491999999998</v>
      </c>
      <c r="F24" s="163">
        <f t="shared" ref="F24:F48" si="10">+D24-E24</f>
        <v>2840971.5450078039</v>
      </c>
      <c r="G24" s="165">
        <f t="shared" ref="G24:G49" si="11">ROUND(I$12*F24,0)+E24</f>
        <v>457945.49199999997</v>
      </c>
      <c r="H24" s="147">
        <f t="shared" ref="H24:H49" si="12">ROUND(I$13*F24,0)+E24</f>
        <v>457945.49199999997</v>
      </c>
      <c r="I24" s="160">
        <f t="shared" si="0"/>
        <v>0</v>
      </c>
      <c r="J24" s="160"/>
      <c r="K24" s="330"/>
      <c r="L24" s="162">
        <f t="shared" si="2"/>
        <v>0</v>
      </c>
      <c r="M24" s="330"/>
      <c r="N24" s="162">
        <f t="shared" si="4"/>
        <v>0</v>
      </c>
      <c r="O24" s="162">
        <f t="shared" si="5"/>
        <v>0</v>
      </c>
      <c r="P24" s="4"/>
    </row>
    <row r="25" spans="2:16">
      <c r="B25" s="9" t="str">
        <f t="shared" si="6"/>
        <v/>
      </c>
      <c r="C25" s="157">
        <f>IF(D11="","-",+C24+1)</f>
        <v>2020</v>
      </c>
      <c r="D25" s="163">
        <f>IF(F24+SUM(E$17:E24)=D$10,F24,D$10-SUM(E$17:E24))</f>
        <v>2840971.5450078039</v>
      </c>
      <c r="E25" s="164">
        <f>IF(+I14&lt;F24,I14,D25)</f>
        <v>73461.491999999998</v>
      </c>
      <c r="F25" s="163">
        <f t="shared" si="10"/>
        <v>2767510.0530078039</v>
      </c>
      <c r="G25" s="165">
        <f t="shared" si="11"/>
        <v>448003.49199999997</v>
      </c>
      <c r="H25" s="147">
        <f t="shared" si="12"/>
        <v>448003.49199999997</v>
      </c>
      <c r="I25" s="160">
        <f t="shared" si="0"/>
        <v>0</v>
      </c>
      <c r="J25" s="160"/>
      <c r="K25" s="330"/>
      <c r="L25" s="162">
        <f t="shared" si="2"/>
        <v>0</v>
      </c>
      <c r="M25" s="330"/>
      <c r="N25" s="162">
        <f t="shared" si="4"/>
        <v>0</v>
      </c>
      <c r="O25" s="162">
        <f t="shared" si="5"/>
        <v>0</v>
      </c>
      <c r="P25" s="4"/>
    </row>
    <row r="26" spans="2:16">
      <c r="B26" s="9" t="str">
        <f t="shared" si="6"/>
        <v/>
      </c>
      <c r="C26" s="157">
        <f>IF(D11="","-",+C25+1)</f>
        <v>2021</v>
      </c>
      <c r="D26" s="163">
        <f>IF(F25+SUM(E$17:E25)=D$10,F25,D$10-SUM(E$17:E25))</f>
        <v>2767510.0530078039</v>
      </c>
      <c r="E26" s="164">
        <f>IF(+I14&lt;F25,I14,D26)</f>
        <v>73461.491999999998</v>
      </c>
      <c r="F26" s="163">
        <f t="shared" si="10"/>
        <v>2694048.5610078038</v>
      </c>
      <c r="G26" s="165">
        <f t="shared" si="11"/>
        <v>438061.49199999997</v>
      </c>
      <c r="H26" s="147">
        <f t="shared" si="12"/>
        <v>438061.49199999997</v>
      </c>
      <c r="I26" s="160">
        <f t="shared" si="0"/>
        <v>0</v>
      </c>
      <c r="J26" s="160"/>
      <c r="K26" s="330"/>
      <c r="L26" s="162">
        <f t="shared" si="2"/>
        <v>0</v>
      </c>
      <c r="M26" s="330"/>
      <c r="N26" s="162">
        <f t="shared" si="4"/>
        <v>0</v>
      </c>
      <c r="O26" s="162">
        <f t="shared" si="5"/>
        <v>0</v>
      </c>
      <c r="P26" s="4"/>
    </row>
    <row r="27" spans="2:16">
      <c r="B27" s="9" t="str">
        <f t="shared" si="6"/>
        <v/>
      </c>
      <c r="C27" s="157">
        <f>IF(D11="","-",+C26+1)</f>
        <v>2022</v>
      </c>
      <c r="D27" s="166">
        <f>IF(F26+SUM(E$17:E26)=D$10,F26,D$10-SUM(E$17:E26))</f>
        <v>2694048.5610078038</v>
      </c>
      <c r="E27" s="164">
        <f>IF(+I14&lt;F26,I14,D27)</f>
        <v>73461.491999999998</v>
      </c>
      <c r="F27" s="163">
        <f t="shared" si="10"/>
        <v>2620587.0690078037</v>
      </c>
      <c r="G27" s="165">
        <f t="shared" si="11"/>
        <v>428119.49199999997</v>
      </c>
      <c r="H27" s="147">
        <f t="shared" si="12"/>
        <v>428119.49199999997</v>
      </c>
      <c r="I27" s="160">
        <f t="shared" si="0"/>
        <v>0</v>
      </c>
      <c r="J27" s="160"/>
      <c r="K27" s="330"/>
      <c r="L27" s="162">
        <f t="shared" si="2"/>
        <v>0</v>
      </c>
      <c r="M27" s="330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2023</v>
      </c>
      <c r="D28" s="163">
        <f>IF(F27+SUM(E$17:E27)=D$10,F27,D$10-SUM(E$17:E27))</f>
        <v>2620587.0690078037</v>
      </c>
      <c r="E28" s="164">
        <f>IF(+I14&lt;F27,I14,D28)</f>
        <v>73461.491999999998</v>
      </c>
      <c r="F28" s="163">
        <f t="shared" si="10"/>
        <v>2547125.5770078036</v>
      </c>
      <c r="G28" s="165">
        <f t="shared" si="11"/>
        <v>418177.49199999997</v>
      </c>
      <c r="H28" s="147">
        <f t="shared" si="12"/>
        <v>418177.49199999997</v>
      </c>
      <c r="I28" s="160">
        <f t="shared" si="0"/>
        <v>0</v>
      </c>
      <c r="J28" s="160"/>
      <c r="K28" s="330"/>
      <c r="L28" s="162">
        <f t="shared" si="2"/>
        <v>0</v>
      </c>
      <c r="M28" s="330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2024</v>
      </c>
      <c r="D29" s="163">
        <f>IF(F28+SUM(E$17:E28)=D$10,F28,D$10-SUM(E$17:E28))</f>
        <v>2547125.5770078036</v>
      </c>
      <c r="E29" s="164">
        <f>IF(+I14&lt;F28,I14,D29)</f>
        <v>73461.491999999998</v>
      </c>
      <c r="F29" s="163">
        <f t="shared" si="10"/>
        <v>2473664.0850078035</v>
      </c>
      <c r="G29" s="165">
        <f t="shared" si="11"/>
        <v>408235.49199999997</v>
      </c>
      <c r="H29" s="147">
        <f t="shared" si="12"/>
        <v>408235.49199999997</v>
      </c>
      <c r="I29" s="160">
        <f t="shared" si="0"/>
        <v>0</v>
      </c>
      <c r="J29" s="160"/>
      <c r="K29" s="330"/>
      <c r="L29" s="162">
        <f t="shared" si="2"/>
        <v>0</v>
      </c>
      <c r="M29" s="330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2025</v>
      </c>
      <c r="D30" s="163">
        <f>IF(F29+SUM(E$17:E29)=D$10,F29,D$10-SUM(E$17:E29))</f>
        <v>2473664.0850078035</v>
      </c>
      <c r="E30" s="164">
        <f>IF(+I14&lt;F29,I14,D30)</f>
        <v>73461.491999999998</v>
      </c>
      <c r="F30" s="163">
        <f t="shared" si="10"/>
        <v>2400202.5930078034</v>
      </c>
      <c r="G30" s="165">
        <f t="shared" si="11"/>
        <v>398293.49199999997</v>
      </c>
      <c r="H30" s="147">
        <f t="shared" si="12"/>
        <v>398293.49199999997</v>
      </c>
      <c r="I30" s="160">
        <f t="shared" si="0"/>
        <v>0</v>
      </c>
      <c r="J30" s="160"/>
      <c r="K30" s="330"/>
      <c r="L30" s="162">
        <f t="shared" si="2"/>
        <v>0</v>
      </c>
      <c r="M30" s="330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2026</v>
      </c>
      <c r="D31" s="163">
        <f>IF(F30+SUM(E$17:E30)=D$10,F30,D$10-SUM(E$17:E30))</f>
        <v>2400202.5930078034</v>
      </c>
      <c r="E31" s="164">
        <f>IF(+I14&lt;F30,I14,D31)</f>
        <v>73461.491999999998</v>
      </c>
      <c r="F31" s="163">
        <f t="shared" si="10"/>
        <v>2326741.1010078033</v>
      </c>
      <c r="G31" s="165">
        <f t="shared" si="11"/>
        <v>388351.49199999997</v>
      </c>
      <c r="H31" s="147">
        <f t="shared" si="12"/>
        <v>388351.49199999997</v>
      </c>
      <c r="I31" s="160">
        <f t="shared" si="0"/>
        <v>0</v>
      </c>
      <c r="J31" s="160"/>
      <c r="K31" s="330"/>
      <c r="L31" s="162">
        <f t="shared" si="2"/>
        <v>0</v>
      </c>
      <c r="M31" s="330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2027</v>
      </c>
      <c r="D32" s="163">
        <f>IF(F31+SUM(E$17:E31)=D$10,F31,D$10-SUM(E$17:E31))</f>
        <v>2326741.1010078033</v>
      </c>
      <c r="E32" s="164">
        <f>IF(+I14&lt;F31,I14,D32)</f>
        <v>73461.491999999998</v>
      </c>
      <c r="F32" s="163">
        <f t="shared" si="10"/>
        <v>2253279.6090078033</v>
      </c>
      <c r="G32" s="165">
        <f t="shared" si="11"/>
        <v>378410.49199999997</v>
      </c>
      <c r="H32" s="147">
        <f t="shared" si="12"/>
        <v>378410.49199999997</v>
      </c>
      <c r="I32" s="160">
        <f t="shared" si="0"/>
        <v>0</v>
      </c>
      <c r="J32" s="160"/>
      <c r="K32" s="330"/>
      <c r="L32" s="162">
        <f t="shared" si="2"/>
        <v>0</v>
      </c>
      <c r="M32" s="330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2028</v>
      </c>
      <c r="D33" s="163">
        <f>IF(F32+SUM(E$17:E32)=D$10,F32,D$10-SUM(E$17:E32))</f>
        <v>2253279.6090078033</v>
      </c>
      <c r="E33" s="164">
        <f>IF(+I14&lt;F32,I14,D33)</f>
        <v>73461.491999999998</v>
      </c>
      <c r="F33" s="163">
        <f t="shared" si="10"/>
        <v>2179818.1170078032</v>
      </c>
      <c r="G33" s="165">
        <f t="shared" si="11"/>
        <v>368468.49199999997</v>
      </c>
      <c r="H33" s="147">
        <f t="shared" si="12"/>
        <v>368468.49199999997</v>
      </c>
      <c r="I33" s="160">
        <f t="shared" si="0"/>
        <v>0</v>
      </c>
      <c r="J33" s="160"/>
      <c r="K33" s="330"/>
      <c r="L33" s="162">
        <f t="shared" si="2"/>
        <v>0</v>
      </c>
      <c r="M33" s="330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2029</v>
      </c>
      <c r="D34" s="163">
        <f>IF(F33+SUM(E$17:E33)=D$10,F33,D$10-SUM(E$17:E33))</f>
        <v>2179818.1170078032</v>
      </c>
      <c r="E34" s="164">
        <f>IF(+I14&lt;F33,I14,D34)</f>
        <v>73461.491999999998</v>
      </c>
      <c r="F34" s="163">
        <f t="shared" si="10"/>
        <v>2106356.6250078031</v>
      </c>
      <c r="G34" s="165">
        <f t="shared" si="11"/>
        <v>358526.49199999997</v>
      </c>
      <c r="H34" s="147">
        <f t="shared" si="12"/>
        <v>358526.49199999997</v>
      </c>
      <c r="I34" s="160">
        <f t="shared" si="0"/>
        <v>0</v>
      </c>
      <c r="J34" s="160"/>
      <c r="K34" s="330"/>
      <c r="L34" s="162">
        <f t="shared" si="2"/>
        <v>0</v>
      </c>
      <c r="M34" s="330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2030</v>
      </c>
      <c r="D35" s="163">
        <f>IF(F34+SUM(E$17:E34)=D$10,F34,D$10-SUM(E$17:E34))</f>
        <v>2106356.6250078031</v>
      </c>
      <c r="E35" s="164">
        <f>IF(+I14&lt;F34,I14,D35)</f>
        <v>73461.491999999998</v>
      </c>
      <c r="F35" s="163">
        <f t="shared" si="10"/>
        <v>2032895.133007803</v>
      </c>
      <c r="G35" s="165">
        <f t="shared" si="11"/>
        <v>348584.49199999997</v>
      </c>
      <c r="H35" s="147">
        <f t="shared" si="12"/>
        <v>348584.49199999997</v>
      </c>
      <c r="I35" s="160">
        <f t="shared" si="0"/>
        <v>0</v>
      </c>
      <c r="J35" s="160"/>
      <c r="K35" s="330"/>
      <c r="L35" s="162">
        <f t="shared" si="2"/>
        <v>0</v>
      </c>
      <c r="M35" s="330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2031</v>
      </c>
      <c r="D36" s="163">
        <f>IF(F35+SUM(E$17:E35)=D$10,F35,D$10-SUM(E$17:E35))</f>
        <v>2032895.133007803</v>
      </c>
      <c r="E36" s="164">
        <f>IF(+I14&lt;F35,I14,D36)</f>
        <v>73461.491999999998</v>
      </c>
      <c r="F36" s="163">
        <f t="shared" si="10"/>
        <v>1959433.6410078029</v>
      </c>
      <c r="G36" s="165">
        <f t="shared" si="11"/>
        <v>338642.49199999997</v>
      </c>
      <c r="H36" s="147">
        <f t="shared" si="12"/>
        <v>338642.49199999997</v>
      </c>
      <c r="I36" s="160">
        <f t="shared" si="0"/>
        <v>0</v>
      </c>
      <c r="J36" s="160"/>
      <c r="K36" s="330"/>
      <c r="L36" s="162">
        <f t="shared" si="2"/>
        <v>0</v>
      </c>
      <c r="M36" s="330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2032</v>
      </c>
      <c r="D37" s="163">
        <f>IF(F36+SUM(E$17:E36)=D$10,F36,D$10-SUM(E$17:E36))</f>
        <v>1959433.6410078029</v>
      </c>
      <c r="E37" s="164">
        <f>IF(+I14&lt;F36,I14,D37)</f>
        <v>73461.491999999998</v>
      </c>
      <c r="F37" s="163">
        <f t="shared" si="10"/>
        <v>1885972.1490078028</v>
      </c>
      <c r="G37" s="165">
        <f t="shared" si="11"/>
        <v>328700.49199999997</v>
      </c>
      <c r="H37" s="147">
        <f t="shared" si="12"/>
        <v>328700.49199999997</v>
      </c>
      <c r="I37" s="160">
        <f t="shared" si="0"/>
        <v>0</v>
      </c>
      <c r="J37" s="160"/>
      <c r="K37" s="330"/>
      <c r="L37" s="162">
        <f t="shared" si="2"/>
        <v>0</v>
      </c>
      <c r="M37" s="330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2033</v>
      </c>
      <c r="D38" s="163">
        <f>IF(F37+SUM(E$17:E37)=D$10,F37,D$10-SUM(E$17:E37))</f>
        <v>1885972.1490078028</v>
      </c>
      <c r="E38" s="164">
        <f>IF(+I14&lt;F37,I14,D38)</f>
        <v>73461.491999999998</v>
      </c>
      <c r="F38" s="163">
        <f t="shared" si="10"/>
        <v>1812510.6570078027</v>
      </c>
      <c r="G38" s="165">
        <f t="shared" si="11"/>
        <v>318758.49199999997</v>
      </c>
      <c r="H38" s="147">
        <f t="shared" si="12"/>
        <v>318758.49199999997</v>
      </c>
      <c r="I38" s="160">
        <f t="shared" si="0"/>
        <v>0</v>
      </c>
      <c r="J38" s="160"/>
      <c r="K38" s="330"/>
      <c r="L38" s="162">
        <f t="shared" si="2"/>
        <v>0</v>
      </c>
      <c r="M38" s="330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2034</v>
      </c>
      <c r="D39" s="163">
        <f>IF(F38+SUM(E$17:E38)=D$10,F38,D$10-SUM(E$17:E38))</f>
        <v>1812510.6570078027</v>
      </c>
      <c r="E39" s="164">
        <f>IF(+I14&lt;F38,I14,D39)</f>
        <v>73461.491999999998</v>
      </c>
      <c r="F39" s="163">
        <f t="shared" si="10"/>
        <v>1739049.1650078027</v>
      </c>
      <c r="G39" s="165">
        <f t="shared" si="11"/>
        <v>308816.49199999997</v>
      </c>
      <c r="H39" s="147">
        <f t="shared" si="12"/>
        <v>308816.49199999997</v>
      </c>
      <c r="I39" s="160">
        <f t="shared" si="0"/>
        <v>0</v>
      </c>
      <c r="J39" s="160"/>
      <c r="K39" s="330"/>
      <c r="L39" s="162">
        <f t="shared" si="2"/>
        <v>0</v>
      </c>
      <c r="M39" s="330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2035</v>
      </c>
      <c r="D40" s="163">
        <f>IF(F39+SUM(E$17:E39)=D$10,F39,D$10-SUM(E$17:E39))</f>
        <v>1739049.1650078027</v>
      </c>
      <c r="E40" s="164">
        <f>IF(+I14&lt;F39,I14,D40)</f>
        <v>73461.491999999998</v>
      </c>
      <c r="F40" s="163">
        <f t="shared" si="10"/>
        <v>1665587.6730078026</v>
      </c>
      <c r="G40" s="165">
        <f t="shared" si="11"/>
        <v>298874.49199999997</v>
      </c>
      <c r="H40" s="147">
        <f t="shared" si="12"/>
        <v>298874.49199999997</v>
      </c>
      <c r="I40" s="160">
        <f t="shared" si="0"/>
        <v>0</v>
      </c>
      <c r="J40" s="160"/>
      <c r="K40" s="330"/>
      <c r="L40" s="162">
        <f t="shared" si="2"/>
        <v>0</v>
      </c>
      <c r="M40" s="330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2036</v>
      </c>
      <c r="D41" s="163">
        <f>IF(F40+SUM(E$17:E40)=D$10,F40,D$10-SUM(E$17:E40))</f>
        <v>1665587.6730078026</v>
      </c>
      <c r="E41" s="164">
        <f>IF(+I14&lt;F40,I14,D41)</f>
        <v>73461.491999999998</v>
      </c>
      <c r="F41" s="163">
        <f t="shared" si="10"/>
        <v>1592126.1810078025</v>
      </c>
      <c r="G41" s="165">
        <f t="shared" si="11"/>
        <v>288932.49199999997</v>
      </c>
      <c r="H41" s="147">
        <f t="shared" si="12"/>
        <v>288932.49199999997</v>
      </c>
      <c r="I41" s="160">
        <f t="shared" si="0"/>
        <v>0</v>
      </c>
      <c r="J41" s="160"/>
      <c r="K41" s="330"/>
      <c r="L41" s="162">
        <f t="shared" si="2"/>
        <v>0</v>
      </c>
      <c r="M41" s="330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2037</v>
      </c>
      <c r="D42" s="163">
        <f>IF(F41+SUM(E$17:E41)=D$10,F41,D$10-SUM(E$17:E41))</f>
        <v>1592126.1810078025</v>
      </c>
      <c r="E42" s="164">
        <f>IF(+I14&lt;F41,I14,D42)</f>
        <v>73461.491999999998</v>
      </c>
      <c r="F42" s="163">
        <f t="shared" si="10"/>
        <v>1518664.6890078024</v>
      </c>
      <c r="G42" s="165">
        <f t="shared" si="11"/>
        <v>278990.49199999997</v>
      </c>
      <c r="H42" s="147">
        <f t="shared" si="12"/>
        <v>278990.49199999997</v>
      </c>
      <c r="I42" s="160">
        <f t="shared" si="0"/>
        <v>0</v>
      </c>
      <c r="J42" s="160"/>
      <c r="K42" s="330"/>
      <c r="L42" s="162">
        <f t="shared" si="2"/>
        <v>0</v>
      </c>
      <c r="M42" s="330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2038</v>
      </c>
      <c r="D43" s="163">
        <f>IF(F42+SUM(E$17:E42)=D$10,F42,D$10-SUM(E$17:E42))</f>
        <v>1518664.6890078024</v>
      </c>
      <c r="E43" s="164">
        <f>IF(+I14&lt;F42,I14,D43)</f>
        <v>73461.491999999998</v>
      </c>
      <c r="F43" s="163">
        <f t="shared" si="10"/>
        <v>1445203.1970078023</v>
      </c>
      <c r="G43" s="165">
        <f t="shared" si="11"/>
        <v>269048.49199999997</v>
      </c>
      <c r="H43" s="147">
        <f t="shared" si="12"/>
        <v>269048.49199999997</v>
      </c>
      <c r="I43" s="160">
        <f t="shared" si="0"/>
        <v>0</v>
      </c>
      <c r="J43" s="160"/>
      <c r="K43" s="330"/>
      <c r="L43" s="162">
        <f t="shared" si="2"/>
        <v>0</v>
      </c>
      <c r="M43" s="330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2039</v>
      </c>
      <c r="D44" s="163">
        <f>IF(F43+SUM(E$17:E43)=D$10,F43,D$10-SUM(E$17:E43))</f>
        <v>1445203.1970078023</v>
      </c>
      <c r="E44" s="164">
        <f>IF(+I14&lt;F43,I14,D44)</f>
        <v>73461.491999999998</v>
      </c>
      <c r="F44" s="163">
        <f t="shared" si="10"/>
        <v>1371741.7050078022</v>
      </c>
      <c r="G44" s="165">
        <f t="shared" si="11"/>
        <v>259106.492</v>
      </c>
      <c r="H44" s="147">
        <f t="shared" si="12"/>
        <v>259106.492</v>
      </c>
      <c r="I44" s="160">
        <f t="shared" si="0"/>
        <v>0</v>
      </c>
      <c r="J44" s="160"/>
      <c r="K44" s="330"/>
      <c r="L44" s="162">
        <f t="shared" si="2"/>
        <v>0</v>
      </c>
      <c r="M44" s="330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2040</v>
      </c>
      <c r="D45" s="163">
        <f>IF(F44+SUM(E$17:E44)=D$10,F44,D$10-SUM(E$17:E44))</f>
        <v>1371741.7050078022</v>
      </c>
      <c r="E45" s="164">
        <f>IF(+I14&lt;F44,I14,D45)</f>
        <v>73461.491999999998</v>
      </c>
      <c r="F45" s="163">
        <f t="shared" si="10"/>
        <v>1298280.2130078021</v>
      </c>
      <c r="G45" s="165">
        <f t="shared" si="11"/>
        <v>249164.492</v>
      </c>
      <c r="H45" s="147">
        <f t="shared" si="12"/>
        <v>249164.492</v>
      </c>
      <c r="I45" s="160">
        <f t="shared" si="0"/>
        <v>0</v>
      </c>
      <c r="J45" s="160"/>
      <c r="K45" s="330"/>
      <c r="L45" s="162">
        <f t="shared" si="2"/>
        <v>0</v>
      </c>
      <c r="M45" s="330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2041</v>
      </c>
      <c r="D46" s="163">
        <f>IF(F45+SUM(E$17:E45)=D$10,F45,D$10-SUM(E$17:E45))</f>
        <v>1298280.2130078021</v>
      </c>
      <c r="E46" s="164">
        <f>IF(+I14&lt;F45,I14,D46)</f>
        <v>73461.491999999998</v>
      </c>
      <c r="F46" s="163">
        <f t="shared" si="10"/>
        <v>1224818.7210078021</v>
      </c>
      <c r="G46" s="165">
        <f t="shared" si="11"/>
        <v>239222.492</v>
      </c>
      <c r="H46" s="147">
        <f t="shared" si="12"/>
        <v>239222.492</v>
      </c>
      <c r="I46" s="160">
        <f t="shared" si="0"/>
        <v>0</v>
      </c>
      <c r="J46" s="160"/>
      <c r="K46" s="330"/>
      <c r="L46" s="162">
        <f t="shared" si="2"/>
        <v>0</v>
      </c>
      <c r="M46" s="330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2042</v>
      </c>
      <c r="D47" s="163">
        <f>IF(F46+SUM(E$17:E46)=D$10,F46,D$10-SUM(E$17:E46))</f>
        <v>1224818.7210078021</v>
      </c>
      <c r="E47" s="164">
        <f>IF(+I14&lt;F46,I14,D47)</f>
        <v>73461.491999999998</v>
      </c>
      <c r="F47" s="163">
        <f t="shared" si="10"/>
        <v>1151357.229007802</v>
      </c>
      <c r="G47" s="165">
        <f t="shared" si="11"/>
        <v>229280.492</v>
      </c>
      <c r="H47" s="147">
        <f t="shared" si="12"/>
        <v>229280.492</v>
      </c>
      <c r="I47" s="160">
        <f t="shared" si="0"/>
        <v>0</v>
      </c>
      <c r="J47" s="160"/>
      <c r="K47" s="330"/>
      <c r="L47" s="162">
        <f t="shared" si="2"/>
        <v>0</v>
      </c>
      <c r="M47" s="330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2043</v>
      </c>
      <c r="D48" s="163">
        <f>IF(F47+SUM(E$17:E47)=D$10,F47,D$10-SUM(E$17:E47))</f>
        <v>1151357.229007802</v>
      </c>
      <c r="E48" s="164">
        <f>IF(+I14&lt;F47,I14,D48)</f>
        <v>73461.491999999998</v>
      </c>
      <c r="F48" s="163">
        <f t="shared" si="10"/>
        <v>1077895.7370078019</v>
      </c>
      <c r="G48" s="165">
        <f t="shared" si="11"/>
        <v>219338.492</v>
      </c>
      <c r="H48" s="147">
        <f t="shared" si="12"/>
        <v>219338.492</v>
      </c>
      <c r="I48" s="160">
        <f t="shared" si="0"/>
        <v>0</v>
      </c>
      <c r="J48" s="160"/>
      <c r="K48" s="330"/>
      <c r="L48" s="162">
        <f t="shared" si="2"/>
        <v>0</v>
      </c>
      <c r="M48" s="330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2044</v>
      </c>
      <c r="D49" s="163">
        <f>IF(F48+SUM(E$17:E48)=D$10,F48,D$10-SUM(E$17:E48))</f>
        <v>1077895.7370078019</v>
      </c>
      <c r="E49" s="164">
        <f>IF(+I14&lt;F48,I14,D49)</f>
        <v>73461.491999999998</v>
      </c>
      <c r="F49" s="163">
        <f t="shared" ref="F49:F72" si="13">+D49-E49</f>
        <v>1004434.2450078019</v>
      </c>
      <c r="G49" s="165">
        <f t="shared" si="11"/>
        <v>209397.492</v>
      </c>
      <c r="H49" s="147">
        <f t="shared" si="12"/>
        <v>209397.492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ref="B50:B72" si="18">IF(D50=F49,"","IU")</f>
        <v/>
      </c>
      <c r="C50" s="157">
        <f>IF(D11="","-",+C49+1)</f>
        <v>2045</v>
      </c>
      <c r="D50" s="163">
        <f>IF(F49+SUM(E$17:E49)=D$10,F49,D$10-SUM(E$17:E49))</f>
        <v>1004434.2450078019</v>
      </c>
      <c r="E50" s="164">
        <f>IF(+I14&lt;F49,I14,D50)</f>
        <v>73461.491999999998</v>
      </c>
      <c r="F50" s="163">
        <f t="shared" si="13"/>
        <v>930972.75300780195</v>
      </c>
      <c r="G50" s="165">
        <f t="shared" ref="G50:G72" si="19">ROUND(I$12*F50,0)+E50</f>
        <v>199455.492</v>
      </c>
      <c r="H50" s="147">
        <f t="shared" ref="H50:H72" si="20">ROUND(I$13*F50,0)+E50</f>
        <v>199455.492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18"/>
        <v/>
      </c>
      <c r="C51" s="157">
        <f>IF(D11="","-",+C50+1)</f>
        <v>2046</v>
      </c>
      <c r="D51" s="163">
        <f>IF(F50+SUM(E$17:E50)=D$10,F50,D$10-SUM(E$17:E50))</f>
        <v>930972.75300780195</v>
      </c>
      <c r="E51" s="164">
        <f>IF(+I14&lt;F50,I14,D51)</f>
        <v>73461.491999999998</v>
      </c>
      <c r="F51" s="163">
        <f t="shared" si="13"/>
        <v>857511.26100780198</v>
      </c>
      <c r="G51" s="165">
        <f t="shared" si="19"/>
        <v>189513.492</v>
      </c>
      <c r="H51" s="147">
        <f t="shared" si="20"/>
        <v>189513.492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18"/>
        <v/>
      </c>
      <c r="C52" s="157">
        <f>IF(D11="","-",+C51+1)</f>
        <v>2047</v>
      </c>
      <c r="D52" s="163">
        <f>IF(F51+SUM(E$17:E51)=D$10,F51,D$10-SUM(E$17:E51))</f>
        <v>857511.26100780198</v>
      </c>
      <c r="E52" s="164">
        <f>IF(+I14&lt;F51,I14,D52)</f>
        <v>73461.491999999998</v>
      </c>
      <c r="F52" s="163">
        <f t="shared" si="13"/>
        <v>784049.76900780201</v>
      </c>
      <c r="G52" s="165">
        <f t="shared" si="19"/>
        <v>179571.492</v>
      </c>
      <c r="H52" s="147">
        <f t="shared" si="20"/>
        <v>179571.492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18"/>
        <v/>
      </c>
      <c r="C53" s="157">
        <f>IF(D11="","-",+C52+1)</f>
        <v>2048</v>
      </c>
      <c r="D53" s="163">
        <f>IF(F52+SUM(E$17:E52)=D$10,F52,D$10-SUM(E$17:E52))</f>
        <v>784049.76900780201</v>
      </c>
      <c r="E53" s="164">
        <f>IF(+I14&lt;F52,I14,D53)</f>
        <v>73461.491999999998</v>
      </c>
      <c r="F53" s="163">
        <f t="shared" si="13"/>
        <v>710588.27700780204</v>
      </c>
      <c r="G53" s="165">
        <f t="shared" si="19"/>
        <v>169629.492</v>
      </c>
      <c r="H53" s="147">
        <f t="shared" si="20"/>
        <v>169629.492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18"/>
        <v/>
      </c>
      <c r="C54" s="157">
        <f>IF(D11="","-",+C53+1)</f>
        <v>2049</v>
      </c>
      <c r="D54" s="163">
        <f>IF(F53+SUM(E$17:E53)=D$10,F53,D$10-SUM(E$17:E53))</f>
        <v>710588.27700780204</v>
      </c>
      <c r="E54" s="164">
        <f>IF(+I14&lt;F53,I14,D54)</f>
        <v>73461.491999999998</v>
      </c>
      <c r="F54" s="163">
        <f t="shared" si="13"/>
        <v>637126.78500780207</v>
      </c>
      <c r="G54" s="165">
        <f t="shared" si="19"/>
        <v>159687.492</v>
      </c>
      <c r="H54" s="147">
        <f t="shared" si="20"/>
        <v>159687.492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18"/>
        <v/>
      </c>
      <c r="C55" s="157">
        <f>IF(D11="","-",+C54+1)</f>
        <v>2050</v>
      </c>
      <c r="D55" s="163">
        <f>IF(F54+SUM(E$17:E54)=D$10,F54,D$10-SUM(E$17:E54))</f>
        <v>637126.78500780207</v>
      </c>
      <c r="E55" s="164">
        <f>IF(+I14&lt;F54,I14,D55)</f>
        <v>73461.491999999998</v>
      </c>
      <c r="F55" s="163">
        <f t="shared" si="13"/>
        <v>563665.2930078021</v>
      </c>
      <c r="G55" s="165">
        <f t="shared" si="19"/>
        <v>149745.492</v>
      </c>
      <c r="H55" s="147">
        <f t="shared" si="20"/>
        <v>149745.492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18"/>
        <v/>
      </c>
      <c r="C56" s="157">
        <f>IF(D11="","-",+C55+1)</f>
        <v>2051</v>
      </c>
      <c r="D56" s="163">
        <f>IF(F55+SUM(E$17:E55)=D$10,F55,D$10-SUM(E$17:E55))</f>
        <v>563665.2930078021</v>
      </c>
      <c r="E56" s="164">
        <f>IF(+I14&lt;F55,I14,D56)</f>
        <v>73461.491999999998</v>
      </c>
      <c r="F56" s="163">
        <f t="shared" si="13"/>
        <v>490203.80100780213</v>
      </c>
      <c r="G56" s="165">
        <f t="shared" si="19"/>
        <v>139803.492</v>
      </c>
      <c r="H56" s="147">
        <f t="shared" si="20"/>
        <v>139803.492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18"/>
        <v/>
      </c>
      <c r="C57" s="157">
        <f>IF(D11="","-",+C56+1)</f>
        <v>2052</v>
      </c>
      <c r="D57" s="163">
        <f>IF(F56+SUM(E$17:E56)=D$10,F56,D$10-SUM(E$17:E56))</f>
        <v>490203.80100780213</v>
      </c>
      <c r="E57" s="164">
        <f>IF(+I14&lt;F56,I14,D57)</f>
        <v>73461.491999999998</v>
      </c>
      <c r="F57" s="163">
        <f t="shared" si="13"/>
        <v>416742.30900780216</v>
      </c>
      <c r="G57" s="165">
        <f t="shared" si="19"/>
        <v>129861.492</v>
      </c>
      <c r="H57" s="147">
        <f t="shared" si="20"/>
        <v>129861.492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18"/>
        <v/>
      </c>
      <c r="C58" s="157">
        <f>IF(D11="","-",+C57+1)</f>
        <v>2053</v>
      </c>
      <c r="D58" s="163">
        <f>IF(F57+SUM(E$17:E57)=D$10,F57,D$10-SUM(E$17:E57))</f>
        <v>416742.30900780216</v>
      </c>
      <c r="E58" s="164">
        <f>IF(+I14&lt;F57,I14,D58)</f>
        <v>73461.491999999998</v>
      </c>
      <c r="F58" s="163">
        <f t="shared" si="13"/>
        <v>343280.81700780219</v>
      </c>
      <c r="G58" s="165">
        <f t="shared" si="19"/>
        <v>119919.492</v>
      </c>
      <c r="H58" s="147">
        <f t="shared" si="20"/>
        <v>119919.492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18"/>
        <v/>
      </c>
      <c r="C59" s="157">
        <f>IF(D11="","-",+C58+1)</f>
        <v>2054</v>
      </c>
      <c r="D59" s="163">
        <f>IF(F58+SUM(E$17:E58)=D$10,F58,D$10-SUM(E$17:E58))</f>
        <v>343280.81700780219</v>
      </c>
      <c r="E59" s="164">
        <f>IF(+I14&lt;F58,I14,D59)</f>
        <v>73461.491999999998</v>
      </c>
      <c r="F59" s="163">
        <f t="shared" si="13"/>
        <v>269819.32500780222</v>
      </c>
      <c r="G59" s="165">
        <f t="shared" si="19"/>
        <v>109977.492</v>
      </c>
      <c r="H59" s="147">
        <f t="shared" si="20"/>
        <v>109977.492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18"/>
        <v/>
      </c>
      <c r="C60" s="157">
        <f>IF(D11="","-",+C59+1)</f>
        <v>2055</v>
      </c>
      <c r="D60" s="163">
        <f>IF(F59+SUM(E$17:E59)=D$10,F59,D$10-SUM(E$17:E59))</f>
        <v>269819.32500780222</v>
      </c>
      <c r="E60" s="164">
        <f>IF(+I14&lt;F59,I14,D60)</f>
        <v>73461.491999999998</v>
      </c>
      <c r="F60" s="163">
        <f t="shared" si="13"/>
        <v>196357.83300780223</v>
      </c>
      <c r="G60" s="165">
        <f t="shared" si="19"/>
        <v>100035.492</v>
      </c>
      <c r="H60" s="147">
        <f t="shared" si="20"/>
        <v>100035.492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18"/>
        <v/>
      </c>
      <c r="C61" s="157">
        <f>IF(D11="","-",+C60+1)</f>
        <v>2056</v>
      </c>
      <c r="D61" s="163">
        <f>IF(F60+SUM(E$17:E60)=D$10,F60,D$10-SUM(E$17:E60))</f>
        <v>196357.83300780223</v>
      </c>
      <c r="E61" s="164">
        <f>IF(+I14&lt;F60,I14,D61)</f>
        <v>73461.491999999998</v>
      </c>
      <c r="F61" s="163">
        <f t="shared" si="13"/>
        <v>122896.34100780223</v>
      </c>
      <c r="G61" s="167">
        <f t="shared" si="19"/>
        <v>90093.491999999998</v>
      </c>
      <c r="H61" s="147">
        <f t="shared" si="20"/>
        <v>90093.491999999998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18"/>
        <v/>
      </c>
      <c r="C62" s="157">
        <f>IF(D11="","-",+C61+1)</f>
        <v>2057</v>
      </c>
      <c r="D62" s="163">
        <f>IF(F61+SUM(E$17:E61)=D$10,F61,D$10-SUM(E$17:E61))</f>
        <v>122896.34100780223</v>
      </c>
      <c r="E62" s="164">
        <f>IF(+I14&lt;F61,I14,D62)</f>
        <v>73461.491999999998</v>
      </c>
      <c r="F62" s="163">
        <f t="shared" si="13"/>
        <v>49434.84900780223</v>
      </c>
      <c r="G62" s="167">
        <f t="shared" si="19"/>
        <v>80151.491999999998</v>
      </c>
      <c r="H62" s="147">
        <f t="shared" si="20"/>
        <v>80151.491999999998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18"/>
        <v/>
      </c>
      <c r="C63" s="157">
        <f>IF(D11="","-",+C62+1)</f>
        <v>2058</v>
      </c>
      <c r="D63" s="163">
        <f>IF(F62+SUM(E$17:E62)=D$10,F62,D$10-SUM(E$17:E62))</f>
        <v>49434.84900780223</v>
      </c>
      <c r="E63" s="164">
        <f>IF(+I14&lt;F62,I14,D63)</f>
        <v>49434.84900780223</v>
      </c>
      <c r="F63" s="163">
        <f t="shared" si="13"/>
        <v>0</v>
      </c>
      <c r="G63" s="167">
        <f t="shared" si="19"/>
        <v>49434.84900780223</v>
      </c>
      <c r="H63" s="147">
        <f t="shared" si="20"/>
        <v>49434.84900780223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18"/>
        <v/>
      </c>
      <c r="C64" s="157">
        <f>IF(D11="","-",+C63+1)</f>
        <v>2059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7">
        <f t="shared" si="19"/>
        <v>0</v>
      </c>
      <c r="H64" s="147">
        <f t="shared" si="20"/>
        <v>0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18"/>
        <v/>
      </c>
      <c r="C65" s="157">
        <f>IF(D11="","-",+C64+1)</f>
        <v>2060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9"/>
        <v>0</v>
      </c>
      <c r="H65" s="147">
        <f t="shared" si="20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18"/>
        <v/>
      </c>
      <c r="C66" s="157">
        <f>IF(D11="","-",+C65+1)</f>
        <v>2061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9"/>
        <v>0</v>
      </c>
      <c r="H66" s="147">
        <f t="shared" si="20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18"/>
        <v/>
      </c>
      <c r="C67" s="157">
        <f>IF(D11="","-",+C66+1)</f>
        <v>2062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9"/>
        <v>0</v>
      </c>
      <c r="H67" s="147">
        <f t="shared" si="20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18"/>
        <v/>
      </c>
      <c r="C68" s="157">
        <f>IF(D11="","-",+C67+1)</f>
        <v>2063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9"/>
        <v>0</v>
      </c>
      <c r="H68" s="147">
        <f t="shared" si="20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18"/>
        <v/>
      </c>
      <c r="C69" s="157">
        <f>IF(D11="","-",+C68+1)</f>
        <v>2064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9"/>
        <v>0</v>
      </c>
      <c r="H69" s="147">
        <f t="shared" si="20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18"/>
        <v/>
      </c>
      <c r="C70" s="157">
        <f>IF(D11="","-",+C69+1)</f>
        <v>2065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9"/>
        <v>0</v>
      </c>
      <c r="H70" s="147">
        <f t="shared" si="20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18"/>
        <v/>
      </c>
      <c r="C71" s="157">
        <f>IF(D11="","-",+C70+1)</f>
        <v>2066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9"/>
        <v>0</v>
      </c>
      <c r="H71" s="147">
        <f t="shared" si="20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18"/>
        <v/>
      </c>
      <c r="C72" s="168">
        <f>IF(D11="","-",+C71+1)</f>
        <v>2067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9"/>
        <v>0</v>
      </c>
      <c r="H72" s="130">
        <f t="shared" si="20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3305767.1400000006</v>
      </c>
      <c r="F73" s="115"/>
      <c r="G73" s="115">
        <f>SUM(G17:G72)</f>
        <v>13512000.596427927</v>
      </c>
      <c r="H73" s="115">
        <f>SUM(H17:H72)</f>
        <v>13512000.596427927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12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467887.49199999997</v>
      </c>
      <c r="N87" s="202">
        <f>IF(J92&lt;D11,0,VLOOKUP(J92,C17:O72,11))</f>
        <v>467887.49199999997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378148.93401168124</v>
      </c>
      <c r="N88" s="204">
        <f>IF(J92&lt;D11,0,VLOOKUP(J92,C99:P154,7))</f>
        <v>378148.93401168124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Canadian River - McAlester City 138 kV Line Conversion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-89738.557988318731</v>
      </c>
      <c r="N89" s="207">
        <f>+N88-N87</f>
        <v>-89738.557988318731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TP2009095-PSO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f>+D10</f>
        <v>3305767.14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2012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v>10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76878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36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2012</v>
      </c>
      <c r="D99" s="399">
        <f>IF(D93=C99,0,D92)</f>
        <v>0</v>
      </c>
      <c r="E99" s="400">
        <v>1616</v>
      </c>
      <c r="F99" s="401">
        <v>502209</v>
      </c>
      <c r="G99" s="405">
        <v>251209</v>
      </c>
      <c r="H99" s="402">
        <v>37753</v>
      </c>
      <c r="I99" s="403">
        <v>37753</v>
      </c>
      <c r="J99" s="162">
        <f t="shared" ref="J99:J130" si="21">+I99-H99</f>
        <v>0</v>
      </c>
      <c r="K99" s="411"/>
      <c r="L99" s="379">
        <f t="shared" ref="L99:L104" si="22">H99</f>
        <v>37753</v>
      </c>
      <c r="M99" s="412">
        <f t="shared" ref="M99:M104" si="23">IF(L99&lt;&gt;0,+H99-L99,0)</f>
        <v>0</v>
      </c>
      <c r="N99" s="379">
        <f t="shared" ref="N99:N104" si="24">I99</f>
        <v>37753</v>
      </c>
      <c r="O99" s="175">
        <f t="shared" ref="O99:O104" si="25">IF(N99&lt;&gt;0,+I99-N99,0)</f>
        <v>0</v>
      </c>
      <c r="P99" s="161">
        <f t="shared" ref="P99:P104" si="26">+O99-M99</f>
        <v>0</v>
      </c>
    </row>
    <row r="100" spans="1:16">
      <c r="B100" s="9" t="str">
        <f t="shared" ref="B100:B131" si="27">IF(D100=F99,"","IU")</f>
        <v>IU</v>
      </c>
      <c r="C100" s="157">
        <f>IF(D93="","-",+C99+1)</f>
        <v>2013</v>
      </c>
      <c r="D100" s="413">
        <v>3240518</v>
      </c>
      <c r="E100" s="414">
        <v>62349</v>
      </c>
      <c r="F100" s="415">
        <v>3178169</v>
      </c>
      <c r="G100" s="415">
        <v>3209343.5</v>
      </c>
      <c r="H100" s="414">
        <v>524300.60020262119</v>
      </c>
      <c r="I100" s="416">
        <v>524300.60020262119</v>
      </c>
      <c r="J100" s="162">
        <v>0</v>
      </c>
      <c r="K100" s="411"/>
      <c r="L100" s="375">
        <f t="shared" si="22"/>
        <v>524300.60020262119</v>
      </c>
      <c r="M100" s="412">
        <f t="shared" si="23"/>
        <v>0</v>
      </c>
      <c r="N100" s="375">
        <f t="shared" si="24"/>
        <v>524300.60020262119</v>
      </c>
      <c r="O100" s="175">
        <f t="shared" si="25"/>
        <v>0</v>
      </c>
      <c r="P100" s="162">
        <f t="shared" si="26"/>
        <v>0</v>
      </c>
    </row>
    <row r="101" spans="1:16">
      <c r="B101" s="9" t="str">
        <f t="shared" si="27"/>
        <v>IU</v>
      </c>
      <c r="C101" s="157">
        <f>IF(D93="","-",+C100+1)</f>
        <v>2014</v>
      </c>
      <c r="D101" s="413">
        <v>3241802.14</v>
      </c>
      <c r="E101" s="414">
        <v>63572</v>
      </c>
      <c r="F101" s="415">
        <v>3178230.14</v>
      </c>
      <c r="G101" s="415">
        <v>3210016.14</v>
      </c>
      <c r="H101" s="414">
        <v>514887.14751698606</v>
      </c>
      <c r="I101" s="416">
        <v>514887.14751698606</v>
      </c>
      <c r="J101" s="162">
        <v>0</v>
      </c>
      <c r="K101" s="411"/>
      <c r="L101" s="375">
        <f t="shared" si="22"/>
        <v>514887.14751698606</v>
      </c>
      <c r="M101" s="412">
        <f t="shared" si="23"/>
        <v>0</v>
      </c>
      <c r="N101" s="375">
        <f t="shared" si="24"/>
        <v>514887.14751698606</v>
      </c>
      <c r="O101" s="175">
        <f t="shared" si="25"/>
        <v>0</v>
      </c>
      <c r="P101" s="162">
        <f t="shared" si="26"/>
        <v>0</v>
      </c>
    </row>
    <row r="102" spans="1:16">
      <c r="B102" s="9" t="str">
        <f t="shared" si="27"/>
        <v/>
      </c>
      <c r="C102" s="157">
        <f>IF(D93="","-",+C101+1)</f>
        <v>2015</v>
      </c>
      <c r="D102" s="413">
        <v>3178230.14</v>
      </c>
      <c r="E102" s="414">
        <v>63572</v>
      </c>
      <c r="F102" s="415">
        <v>3114658.14</v>
      </c>
      <c r="G102" s="415">
        <v>3146444.14</v>
      </c>
      <c r="H102" s="414">
        <v>492879.0042454137</v>
      </c>
      <c r="I102" s="416">
        <v>492879.0042454137</v>
      </c>
      <c r="J102" s="162">
        <f t="shared" si="21"/>
        <v>0</v>
      </c>
      <c r="K102" s="162"/>
      <c r="L102" s="375">
        <f t="shared" si="22"/>
        <v>492879.0042454137</v>
      </c>
      <c r="M102" s="412">
        <f t="shared" si="23"/>
        <v>0</v>
      </c>
      <c r="N102" s="375">
        <f t="shared" si="24"/>
        <v>492879.0042454137</v>
      </c>
      <c r="O102" s="175">
        <f t="shared" si="25"/>
        <v>0</v>
      </c>
      <c r="P102" s="162">
        <f t="shared" si="26"/>
        <v>0</v>
      </c>
    </row>
    <row r="103" spans="1:16">
      <c r="B103" s="9" t="str">
        <f t="shared" si="27"/>
        <v/>
      </c>
      <c r="C103" s="157">
        <f>IF(D93="","-",+C102+1)</f>
        <v>2016</v>
      </c>
      <c r="D103" s="413">
        <v>3114658.14</v>
      </c>
      <c r="E103" s="414">
        <v>71865</v>
      </c>
      <c r="F103" s="415">
        <v>3042793.14</v>
      </c>
      <c r="G103" s="415">
        <v>3078725.64</v>
      </c>
      <c r="H103" s="414">
        <v>468761.221459263</v>
      </c>
      <c r="I103" s="416">
        <v>468761.221459263</v>
      </c>
      <c r="J103" s="162">
        <f t="shared" si="21"/>
        <v>0</v>
      </c>
      <c r="K103" s="162"/>
      <c r="L103" s="375">
        <f t="shared" si="22"/>
        <v>468761.221459263</v>
      </c>
      <c r="M103" s="412">
        <f t="shared" si="23"/>
        <v>0</v>
      </c>
      <c r="N103" s="375">
        <f t="shared" si="24"/>
        <v>468761.221459263</v>
      </c>
      <c r="O103" s="175">
        <f t="shared" si="25"/>
        <v>0</v>
      </c>
      <c r="P103" s="162">
        <f t="shared" si="26"/>
        <v>0</v>
      </c>
    </row>
    <row r="104" spans="1:16">
      <c r="B104" s="9" t="str">
        <f t="shared" si="27"/>
        <v/>
      </c>
      <c r="C104" s="157">
        <f>IF(D93="","-",+C103+1)</f>
        <v>2017</v>
      </c>
      <c r="D104" s="413">
        <v>3042793.14</v>
      </c>
      <c r="E104" s="414">
        <v>71865</v>
      </c>
      <c r="F104" s="415">
        <v>2970928.14</v>
      </c>
      <c r="G104" s="415">
        <v>3006860.64</v>
      </c>
      <c r="H104" s="414">
        <v>453292.85398579738</v>
      </c>
      <c r="I104" s="416">
        <v>453292.85398579738</v>
      </c>
      <c r="J104" s="162">
        <f t="shared" si="21"/>
        <v>0</v>
      </c>
      <c r="K104" s="162"/>
      <c r="L104" s="375">
        <f t="shared" si="22"/>
        <v>453292.85398579738</v>
      </c>
      <c r="M104" s="412">
        <f t="shared" si="23"/>
        <v>0</v>
      </c>
      <c r="N104" s="375">
        <f t="shared" si="24"/>
        <v>453292.85398579738</v>
      </c>
      <c r="O104" s="175">
        <f t="shared" si="25"/>
        <v>0</v>
      </c>
      <c r="P104" s="162">
        <f t="shared" si="26"/>
        <v>0</v>
      </c>
    </row>
    <row r="105" spans="1:16">
      <c r="B105" s="9" t="str">
        <f t="shared" si="27"/>
        <v/>
      </c>
      <c r="C105" s="157">
        <f>IF(D93="","-",+C104+1)</f>
        <v>2018</v>
      </c>
      <c r="D105" s="158">
        <f>IF(F104+SUM(E$99:E104)=D$92,F104,D$92-SUM(E$99:E104))</f>
        <v>2970928.14</v>
      </c>
      <c r="E105" s="164">
        <f t="shared" ref="E105:E154" si="28">IF(+J$96&lt;F104,J$96,D105)</f>
        <v>76878</v>
      </c>
      <c r="F105" s="163">
        <f t="shared" ref="F105:F154" si="29">+D105-E105</f>
        <v>2894050.14</v>
      </c>
      <c r="G105" s="163">
        <f t="shared" ref="G105:G154" si="30">+(F105+D105)/2</f>
        <v>2932489.14</v>
      </c>
      <c r="H105" s="167">
        <f t="shared" ref="H105:H130" si="31">+J$94*G105+E105</f>
        <v>378148.93401168124</v>
      </c>
      <c r="I105" s="312">
        <f t="shared" ref="I105:I130" si="32">+J$95*G105+E105</f>
        <v>378148.93401168124</v>
      </c>
      <c r="J105" s="162">
        <f t="shared" si="21"/>
        <v>0</v>
      </c>
      <c r="K105" s="162"/>
      <c r="L105" s="330"/>
      <c r="M105" s="162">
        <f t="shared" ref="M105:M130" si="33">IF(L105&lt;&gt;0,+H105-L105,0)</f>
        <v>0</v>
      </c>
      <c r="N105" s="330"/>
      <c r="O105" s="162">
        <f t="shared" ref="O105:O130" si="34">IF(N105&lt;&gt;0,+I105-N105,0)</f>
        <v>0</v>
      </c>
      <c r="P105" s="162">
        <f t="shared" ref="P105:P130" si="35">+O105-M105</f>
        <v>0</v>
      </c>
    </row>
    <row r="106" spans="1:16">
      <c r="B106" s="9" t="str">
        <f t="shared" si="27"/>
        <v/>
      </c>
      <c r="C106" s="157">
        <f>IF(D93="","-",+C105+1)</f>
        <v>2019</v>
      </c>
      <c r="D106" s="158">
        <f>IF(F105+SUM(E$99:E105)=D$92,F105,D$92-SUM(E$99:E105))</f>
        <v>2894050.14</v>
      </c>
      <c r="E106" s="164">
        <f t="shared" si="28"/>
        <v>76878</v>
      </c>
      <c r="F106" s="163">
        <f t="shared" si="29"/>
        <v>2817172.14</v>
      </c>
      <c r="G106" s="163">
        <f t="shared" si="30"/>
        <v>2855611.14</v>
      </c>
      <c r="H106" s="167">
        <f t="shared" si="31"/>
        <v>370250.82910516142</v>
      </c>
      <c r="I106" s="312">
        <f t="shared" si="32"/>
        <v>370250.82910516142</v>
      </c>
      <c r="J106" s="162">
        <f t="shared" si="21"/>
        <v>0</v>
      </c>
      <c r="K106" s="162"/>
      <c r="L106" s="330"/>
      <c r="M106" s="162">
        <f t="shared" si="33"/>
        <v>0</v>
      </c>
      <c r="N106" s="330"/>
      <c r="O106" s="162">
        <f t="shared" si="34"/>
        <v>0</v>
      </c>
      <c r="P106" s="162">
        <f t="shared" si="35"/>
        <v>0</v>
      </c>
    </row>
    <row r="107" spans="1:16">
      <c r="B107" s="9" t="str">
        <f t="shared" si="27"/>
        <v/>
      </c>
      <c r="C107" s="157">
        <f>IF(D93="","-",+C106+1)</f>
        <v>2020</v>
      </c>
      <c r="D107" s="158">
        <f>IF(F106+SUM(E$99:E106)=D$92,F106,D$92-SUM(E$99:E106))</f>
        <v>2817172.14</v>
      </c>
      <c r="E107" s="165">
        <f t="shared" si="28"/>
        <v>76878</v>
      </c>
      <c r="F107" s="163">
        <f t="shared" si="29"/>
        <v>2740294.14</v>
      </c>
      <c r="G107" s="163">
        <f t="shared" si="30"/>
        <v>2778733.14</v>
      </c>
      <c r="H107" s="167">
        <f t="shared" si="31"/>
        <v>362352.72419864166</v>
      </c>
      <c r="I107" s="312">
        <f t="shared" si="32"/>
        <v>362352.72419864166</v>
      </c>
      <c r="J107" s="162">
        <f t="shared" si="21"/>
        <v>0</v>
      </c>
      <c r="K107" s="162"/>
      <c r="L107" s="330"/>
      <c r="M107" s="162">
        <f t="shared" si="33"/>
        <v>0</v>
      </c>
      <c r="N107" s="330"/>
      <c r="O107" s="162">
        <f t="shared" si="34"/>
        <v>0</v>
      </c>
      <c r="P107" s="162">
        <f t="shared" si="35"/>
        <v>0</v>
      </c>
    </row>
    <row r="108" spans="1:16">
      <c r="B108" s="9" t="str">
        <f t="shared" si="27"/>
        <v/>
      </c>
      <c r="C108" s="157">
        <f>IF(D93="","-",+C107+1)</f>
        <v>2021</v>
      </c>
      <c r="D108" s="158">
        <f>IF(F107+SUM(E$99:E107)=D$92,F107,D$92-SUM(E$99:E107))</f>
        <v>2740294.14</v>
      </c>
      <c r="E108" s="165">
        <f t="shared" si="28"/>
        <v>76878</v>
      </c>
      <c r="F108" s="163">
        <f t="shared" si="29"/>
        <v>2663416.14</v>
      </c>
      <c r="G108" s="163">
        <f t="shared" si="30"/>
        <v>2701855.14</v>
      </c>
      <c r="H108" s="167">
        <f t="shared" si="31"/>
        <v>354454.61929212185</v>
      </c>
      <c r="I108" s="312">
        <f t="shared" si="32"/>
        <v>354454.61929212185</v>
      </c>
      <c r="J108" s="162">
        <f t="shared" si="21"/>
        <v>0</v>
      </c>
      <c r="K108" s="162"/>
      <c r="L108" s="330"/>
      <c r="M108" s="162">
        <f t="shared" si="33"/>
        <v>0</v>
      </c>
      <c r="N108" s="330"/>
      <c r="O108" s="162">
        <f t="shared" si="34"/>
        <v>0</v>
      </c>
      <c r="P108" s="162">
        <f t="shared" si="35"/>
        <v>0</v>
      </c>
    </row>
    <row r="109" spans="1:16">
      <c r="B109" s="9" t="str">
        <f t="shared" si="27"/>
        <v/>
      </c>
      <c r="C109" s="157">
        <f>IF(D93="","-",+C108+1)</f>
        <v>2022</v>
      </c>
      <c r="D109" s="158">
        <f>IF(F108+SUM(E$99:E108)=D$92,F108,D$92-SUM(E$99:E108))</f>
        <v>2663416.14</v>
      </c>
      <c r="E109" s="165">
        <f t="shared" si="28"/>
        <v>76878</v>
      </c>
      <c r="F109" s="163">
        <f t="shared" si="29"/>
        <v>2586538.14</v>
      </c>
      <c r="G109" s="163">
        <f t="shared" si="30"/>
        <v>2624977.14</v>
      </c>
      <c r="H109" s="167">
        <f t="shared" si="31"/>
        <v>346556.51438560203</v>
      </c>
      <c r="I109" s="312">
        <f t="shared" si="32"/>
        <v>346556.51438560203</v>
      </c>
      <c r="J109" s="162">
        <f t="shared" si="21"/>
        <v>0</v>
      </c>
      <c r="K109" s="162"/>
      <c r="L109" s="330"/>
      <c r="M109" s="162">
        <f t="shared" si="33"/>
        <v>0</v>
      </c>
      <c r="N109" s="330"/>
      <c r="O109" s="162">
        <f t="shared" si="34"/>
        <v>0</v>
      </c>
      <c r="P109" s="162">
        <f t="shared" si="35"/>
        <v>0</v>
      </c>
    </row>
    <row r="110" spans="1:16">
      <c r="B110" s="9" t="str">
        <f t="shared" si="27"/>
        <v/>
      </c>
      <c r="C110" s="157">
        <f>IF(D93="","-",+C109+1)</f>
        <v>2023</v>
      </c>
      <c r="D110" s="158">
        <f>IF(F109+SUM(E$99:E109)=D$92,F109,D$92-SUM(E$99:E109))</f>
        <v>2586538.14</v>
      </c>
      <c r="E110" s="165">
        <f t="shared" si="28"/>
        <v>76878</v>
      </c>
      <c r="F110" s="163">
        <f t="shared" si="29"/>
        <v>2509660.14</v>
      </c>
      <c r="G110" s="163">
        <f t="shared" si="30"/>
        <v>2548099.14</v>
      </c>
      <c r="H110" s="167">
        <f t="shared" si="31"/>
        <v>338658.40947908221</v>
      </c>
      <c r="I110" s="312">
        <f t="shared" si="32"/>
        <v>338658.40947908221</v>
      </c>
      <c r="J110" s="162">
        <f t="shared" si="21"/>
        <v>0</v>
      </c>
      <c r="K110" s="162"/>
      <c r="L110" s="330"/>
      <c r="M110" s="162">
        <f t="shared" si="33"/>
        <v>0</v>
      </c>
      <c r="N110" s="330"/>
      <c r="O110" s="162">
        <f t="shared" si="34"/>
        <v>0</v>
      </c>
      <c r="P110" s="162">
        <f t="shared" si="35"/>
        <v>0</v>
      </c>
    </row>
    <row r="111" spans="1:16">
      <c r="B111" s="9" t="str">
        <f t="shared" si="27"/>
        <v/>
      </c>
      <c r="C111" s="157">
        <f>IF(D93="","-",+C110+1)</f>
        <v>2024</v>
      </c>
      <c r="D111" s="158">
        <f>IF(F110+SUM(E$99:E110)=D$92,F110,D$92-SUM(E$99:E110))</f>
        <v>2509660.14</v>
      </c>
      <c r="E111" s="165">
        <f t="shared" si="28"/>
        <v>76878</v>
      </c>
      <c r="F111" s="163">
        <f t="shared" si="29"/>
        <v>2432782.14</v>
      </c>
      <c r="G111" s="163">
        <f t="shared" si="30"/>
        <v>2471221.14</v>
      </c>
      <c r="H111" s="167">
        <f t="shared" si="31"/>
        <v>330760.30457256245</v>
      </c>
      <c r="I111" s="312">
        <f t="shared" si="32"/>
        <v>330760.30457256245</v>
      </c>
      <c r="J111" s="162">
        <f t="shared" si="21"/>
        <v>0</v>
      </c>
      <c r="K111" s="162"/>
      <c r="L111" s="330"/>
      <c r="M111" s="162">
        <f t="shared" si="33"/>
        <v>0</v>
      </c>
      <c r="N111" s="330"/>
      <c r="O111" s="162">
        <f t="shared" si="34"/>
        <v>0</v>
      </c>
      <c r="P111" s="162">
        <f t="shared" si="35"/>
        <v>0</v>
      </c>
    </row>
    <row r="112" spans="1:16">
      <c r="B112" s="9" t="str">
        <f t="shared" si="27"/>
        <v/>
      </c>
      <c r="C112" s="157">
        <f>IF(D93="","-",+C111+1)</f>
        <v>2025</v>
      </c>
      <c r="D112" s="158">
        <f>IF(F111+SUM(E$99:E111)=D$92,F111,D$92-SUM(E$99:E111))</f>
        <v>2432782.14</v>
      </c>
      <c r="E112" s="165">
        <f t="shared" si="28"/>
        <v>76878</v>
      </c>
      <c r="F112" s="163">
        <f t="shared" si="29"/>
        <v>2355904.14</v>
      </c>
      <c r="G112" s="163">
        <f t="shared" si="30"/>
        <v>2394343.14</v>
      </c>
      <c r="H112" s="167">
        <f t="shared" si="31"/>
        <v>322862.19966604264</v>
      </c>
      <c r="I112" s="312">
        <f t="shared" si="32"/>
        <v>322862.19966604264</v>
      </c>
      <c r="J112" s="162">
        <f t="shared" si="21"/>
        <v>0</v>
      </c>
      <c r="K112" s="162"/>
      <c r="L112" s="330"/>
      <c r="M112" s="162">
        <f t="shared" si="33"/>
        <v>0</v>
      </c>
      <c r="N112" s="330"/>
      <c r="O112" s="162">
        <f t="shared" si="34"/>
        <v>0</v>
      </c>
      <c r="P112" s="162">
        <f t="shared" si="35"/>
        <v>0</v>
      </c>
    </row>
    <row r="113" spans="2:16">
      <c r="B113" s="9" t="str">
        <f t="shared" si="27"/>
        <v/>
      </c>
      <c r="C113" s="157">
        <f>IF(D93="","-",+C112+1)</f>
        <v>2026</v>
      </c>
      <c r="D113" s="158">
        <f>IF(F112+SUM(E$99:E112)=D$92,F112,D$92-SUM(E$99:E112))</f>
        <v>2355904.14</v>
      </c>
      <c r="E113" s="165">
        <f t="shared" si="28"/>
        <v>76878</v>
      </c>
      <c r="F113" s="163">
        <f t="shared" si="29"/>
        <v>2279026.14</v>
      </c>
      <c r="G113" s="163">
        <f t="shared" si="30"/>
        <v>2317465.14</v>
      </c>
      <c r="H113" s="167">
        <f t="shared" si="31"/>
        <v>314964.09475952282</v>
      </c>
      <c r="I113" s="312">
        <f t="shared" si="32"/>
        <v>314964.09475952282</v>
      </c>
      <c r="J113" s="162">
        <f t="shared" si="21"/>
        <v>0</v>
      </c>
      <c r="K113" s="162"/>
      <c r="L113" s="330"/>
      <c r="M113" s="162">
        <f t="shared" si="33"/>
        <v>0</v>
      </c>
      <c r="N113" s="330"/>
      <c r="O113" s="162">
        <f t="shared" si="34"/>
        <v>0</v>
      </c>
      <c r="P113" s="162">
        <f t="shared" si="35"/>
        <v>0</v>
      </c>
    </row>
    <row r="114" spans="2:16">
      <c r="B114" s="9" t="str">
        <f t="shared" si="27"/>
        <v/>
      </c>
      <c r="C114" s="157">
        <f>IF(D93="","-",+C113+1)</f>
        <v>2027</v>
      </c>
      <c r="D114" s="158">
        <f>IF(F113+SUM(E$99:E113)=D$92,F113,D$92-SUM(E$99:E113))</f>
        <v>2279026.14</v>
      </c>
      <c r="E114" s="165">
        <f t="shared" si="28"/>
        <v>76878</v>
      </c>
      <c r="F114" s="163">
        <f t="shared" si="29"/>
        <v>2202148.14</v>
      </c>
      <c r="G114" s="163">
        <f t="shared" si="30"/>
        <v>2240587.14</v>
      </c>
      <c r="H114" s="167">
        <f t="shared" si="31"/>
        <v>307065.98985300306</v>
      </c>
      <c r="I114" s="312">
        <f t="shared" si="32"/>
        <v>307065.98985300306</v>
      </c>
      <c r="J114" s="162">
        <f t="shared" si="21"/>
        <v>0</v>
      </c>
      <c r="K114" s="162"/>
      <c r="L114" s="330"/>
      <c r="M114" s="162">
        <f t="shared" si="33"/>
        <v>0</v>
      </c>
      <c r="N114" s="330"/>
      <c r="O114" s="162">
        <f t="shared" si="34"/>
        <v>0</v>
      </c>
      <c r="P114" s="162">
        <f t="shared" si="35"/>
        <v>0</v>
      </c>
    </row>
    <row r="115" spans="2:16">
      <c r="B115" s="9" t="str">
        <f t="shared" si="27"/>
        <v/>
      </c>
      <c r="C115" s="157">
        <f>IF(D93="","-",+C114+1)</f>
        <v>2028</v>
      </c>
      <c r="D115" s="158">
        <f>IF(F114+SUM(E$99:E114)=D$92,F114,D$92-SUM(E$99:E114))</f>
        <v>2202148.14</v>
      </c>
      <c r="E115" s="165">
        <f t="shared" si="28"/>
        <v>76878</v>
      </c>
      <c r="F115" s="163">
        <f t="shared" si="29"/>
        <v>2125270.14</v>
      </c>
      <c r="G115" s="163">
        <f t="shared" si="30"/>
        <v>2163709.14</v>
      </c>
      <c r="H115" s="167">
        <f t="shared" si="31"/>
        <v>299167.88494648325</v>
      </c>
      <c r="I115" s="312">
        <f t="shared" si="32"/>
        <v>299167.88494648325</v>
      </c>
      <c r="J115" s="162">
        <f t="shared" si="21"/>
        <v>0</v>
      </c>
      <c r="K115" s="162"/>
      <c r="L115" s="330"/>
      <c r="M115" s="162">
        <f t="shared" si="33"/>
        <v>0</v>
      </c>
      <c r="N115" s="330"/>
      <c r="O115" s="162">
        <f t="shared" si="34"/>
        <v>0</v>
      </c>
      <c r="P115" s="162">
        <f t="shared" si="35"/>
        <v>0</v>
      </c>
    </row>
    <row r="116" spans="2:16">
      <c r="B116" s="9" t="str">
        <f t="shared" si="27"/>
        <v/>
      </c>
      <c r="C116" s="157">
        <f>IF(D93="","-",+C115+1)</f>
        <v>2029</v>
      </c>
      <c r="D116" s="158">
        <f>IF(F115+SUM(E$99:E115)=D$92,F115,D$92-SUM(E$99:E115))</f>
        <v>2125270.14</v>
      </c>
      <c r="E116" s="165">
        <f t="shared" si="28"/>
        <v>76878</v>
      </c>
      <c r="F116" s="163">
        <f t="shared" si="29"/>
        <v>2048392.1400000001</v>
      </c>
      <c r="G116" s="163">
        <f t="shared" si="30"/>
        <v>2086831.1400000001</v>
      </c>
      <c r="H116" s="167">
        <f t="shared" si="31"/>
        <v>291269.78003996343</v>
      </c>
      <c r="I116" s="312">
        <f t="shared" si="32"/>
        <v>291269.78003996343</v>
      </c>
      <c r="J116" s="162">
        <f t="shared" si="21"/>
        <v>0</v>
      </c>
      <c r="K116" s="162"/>
      <c r="L116" s="330"/>
      <c r="M116" s="162">
        <f t="shared" si="33"/>
        <v>0</v>
      </c>
      <c r="N116" s="330"/>
      <c r="O116" s="162">
        <f t="shared" si="34"/>
        <v>0</v>
      </c>
      <c r="P116" s="162">
        <f t="shared" si="35"/>
        <v>0</v>
      </c>
    </row>
    <row r="117" spans="2:16">
      <c r="B117" s="9" t="str">
        <f t="shared" si="27"/>
        <v/>
      </c>
      <c r="C117" s="157">
        <f>IF(D93="","-",+C116+1)</f>
        <v>2030</v>
      </c>
      <c r="D117" s="158">
        <f>IF(F116+SUM(E$99:E116)=D$92,F116,D$92-SUM(E$99:E116))</f>
        <v>2048392.1400000001</v>
      </c>
      <c r="E117" s="165">
        <f t="shared" si="28"/>
        <v>76878</v>
      </c>
      <c r="F117" s="163">
        <f t="shared" si="29"/>
        <v>1971514.1400000001</v>
      </c>
      <c r="G117" s="163">
        <f t="shared" si="30"/>
        <v>2009953.1400000001</v>
      </c>
      <c r="H117" s="167">
        <f t="shared" si="31"/>
        <v>283371.67513344367</v>
      </c>
      <c r="I117" s="312">
        <f t="shared" si="32"/>
        <v>283371.67513344367</v>
      </c>
      <c r="J117" s="162">
        <f t="shared" si="21"/>
        <v>0</v>
      </c>
      <c r="K117" s="162"/>
      <c r="L117" s="330"/>
      <c r="M117" s="162">
        <f t="shared" si="33"/>
        <v>0</v>
      </c>
      <c r="N117" s="330"/>
      <c r="O117" s="162">
        <f t="shared" si="34"/>
        <v>0</v>
      </c>
      <c r="P117" s="162">
        <f t="shared" si="35"/>
        <v>0</v>
      </c>
    </row>
    <row r="118" spans="2:16">
      <c r="B118" s="9" t="str">
        <f t="shared" si="27"/>
        <v/>
      </c>
      <c r="C118" s="157">
        <f>IF(D93="","-",+C117+1)</f>
        <v>2031</v>
      </c>
      <c r="D118" s="158">
        <f>IF(F117+SUM(E$99:E117)=D$92,F117,D$92-SUM(E$99:E117))</f>
        <v>1971514.1400000001</v>
      </c>
      <c r="E118" s="165">
        <f t="shared" si="28"/>
        <v>76878</v>
      </c>
      <c r="F118" s="163">
        <f t="shared" si="29"/>
        <v>1894636.1400000001</v>
      </c>
      <c r="G118" s="163">
        <f t="shared" si="30"/>
        <v>1933075.1400000001</v>
      </c>
      <c r="H118" s="167">
        <f t="shared" si="31"/>
        <v>275473.57022692385</v>
      </c>
      <c r="I118" s="312">
        <f t="shared" si="32"/>
        <v>275473.57022692385</v>
      </c>
      <c r="J118" s="162">
        <f t="shared" si="21"/>
        <v>0</v>
      </c>
      <c r="K118" s="162"/>
      <c r="L118" s="330"/>
      <c r="M118" s="162">
        <f t="shared" si="33"/>
        <v>0</v>
      </c>
      <c r="N118" s="330"/>
      <c r="O118" s="162">
        <f t="shared" si="34"/>
        <v>0</v>
      </c>
      <c r="P118" s="162">
        <f t="shared" si="35"/>
        <v>0</v>
      </c>
    </row>
    <row r="119" spans="2:16">
      <c r="B119" s="9" t="str">
        <f t="shared" si="27"/>
        <v/>
      </c>
      <c r="C119" s="157">
        <f>IF(D93="","-",+C118+1)</f>
        <v>2032</v>
      </c>
      <c r="D119" s="158">
        <f>IF(F118+SUM(E$99:E118)=D$92,F118,D$92-SUM(E$99:E118))</f>
        <v>1894636.1400000001</v>
      </c>
      <c r="E119" s="165">
        <f t="shared" si="28"/>
        <v>76878</v>
      </c>
      <c r="F119" s="163">
        <f t="shared" si="29"/>
        <v>1817758.1400000001</v>
      </c>
      <c r="G119" s="163">
        <f t="shared" si="30"/>
        <v>1856197.1400000001</v>
      </c>
      <c r="H119" s="167">
        <f t="shared" si="31"/>
        <v>267575.46532040404</v>
      </c>
      <c r="I119" s="312">
        <f t="shared" si="32"/>
        <v>267575.46532040404</v>
      </c>
      <c r="J119" s="162">
        <f t="shared" si="21"/>
        <v>0</v>
      </c>
      <c r="K119" s="162"/>
      <c r="L119" s="330"/>
      <c r="M119" s="162">
        <f t="shared" si="33"/>
        <v>0</v>
      </c>
      <c r="N119" s="330"/>
      <c r="O119" s="162">
        <f t="shared" si="34"/>
        <v>0</v>
      </c>
      <c r="P119" s="162">
        <f t="shared" si="35"/>
        <v>0</v>
      </c>
    </row>
    <row r="120" spans="2:16">
      <c r="B120" s="9" t="str">
        <f t="shared" si="27"/>
        <v/>
      </c>
      <c r="C120" s="157">
        <f>IF(D93="","-",+C119+1)</f>
        <v>2033</v>
      </c>
      <c r="D120" s="158">
        <f>IF(F119+SUM(E$99:E119)=D$92,F119,D$92-SUM(E$99:E119))</f>
        <v>1817758.1400000001</v>
      </c>
      <c r="E120" s="165">
        <f t="shared" si="28"/>
        <v>76878</v>
      </c>
      <c r="F120" s="163">
        <f t="shared" si="29"/>
        <v>1740880.1400000001</v>
      </c>
      <c r="G120" s="163">
        <f t="shared" si="30"/>
        <v>1779319.1400000001</v>
      </c>
      <c r="H120" s="167">
        <f t="shared" si="31"/>
        <v>259677.36041388425</v>
      </c>
      <c r="I120" s="312">
        <f t="shared" si="32"/>
        <v>259677.36041388425</v>
      </c>
      <c r="J120" s="162">
        <f t="shared" si="21"/>
        <v>0</v>
      </c>
      <c r="K120" s="162"/>
      <c r="L120" s="330"/>
      <c r="M120" s="162">
        <f t="shared" si="33"/>
        <v>0</v>
      </c>
      <c r="N120" s="330"/>
      <c r="O120" s="162">
        <f t="shared" si="34"/>
        <v>0</v>
      </c>
      <c r="P120" s="162">
        <f t="shared" si="35"/>
        <v>0</v>
      </c>
    </row>
    <row r="121" spans="2:16">
      <c r="B121" s="9" t="str">
        <f t="shared" si="27"/>
        <v/>
      </c>
      <c r="C121" s="157">
        <f>IF(D93="","-",+C120+1)</f>
        <v>2034</v>
      </c>
      <c r="D121" s="158">
        <f>IF(F120+SUM(E$99:E120)=D$92,F120,D$92-SUM(E$99:E120))</f>
        <v>1740880.1400000001</v>
      </c>
      <c r="E121" s="165">
        <f t="shared" si="28"/>
        <v>76878</v>
      </c>
      <c r="F121" s="163">
        <f t="shared" si="29"/>
        <v>1664002.1400000001</v>
      </c>
      <c r="G121" s="163">
        <f t="shared" si="30"/>
        <v>1702441.1400000001</v>
      </c>
      <c r="H121" s="167">
        <f t="shared" si="31"/>
        <v>251779.25550736443</v>
      </c>
      <c r="I121" s="312">
        <f t="shared" si="32"/>
        <v>251779.25550736443</v>
      </c>
      <c r="J121" s="162">
        <f t="shared" si="21"/>
        <v>0</v>
      </c>
      <c r="K121" s="162"/>
      <c r="L121" s="330"/>
      <c r="M121" s="162">
        <f t="shared" si="33"/>
        <v>0</v>
      </c>
      <c r="N121" s="330"/>
      <c r="O121" s="162">
        <f t="shared" si="34"/>
        <v>0</v>
      </c>
      <c r="P121" s="162">
        <f t="shared" si="35"/>
        <v>0</v>
      </c>
    </row>
    <row r="122" spans="2:16">
      <c r="B122" s="9" t="str">
        <f t="shared" si="27"/>
        <v/>
      </c>
      <c r="C122" s="157">
        <f>IF(D93="","-",+C121+1)</f>
        <v>2035</v>
      </c>
      <c r="D122" s="158">
        <f>IF(F121+SUM(E$99:E121)=D$92,F121,D$92-SUM(E$99:E121))</f>
        <v>1664002.1400000001</v>
      </c>
      <c r="E122" s="165">
        <f t="shared" si="28"/>
        <v>76878</v>
      </c>
      <c r="F122" s="163">
        <f t="shared" si="29"/>
        <v>1587124.1400000001</v>
      </c>
      <c r="G122" s="163">
        <f t="shared" si="30"/>
        <v>1625563.1400000001</v>
      </c>
      <c r="H122" s="167">
        <f t="shared" si="31"/>
        <v>243881.15060084464</v>
      </c>
      <c r="I122" s="312">
        <f t="shared" si="32"/>
        <v>243881.15060084464</v>
      </c>
      <c r="J122" s="162">
        <f t="shared" si="21"/>
        <v>0</v>
      </c>
      <c r="K122" s="162"/>
      <c r="L122" s="330"/>
      <c r="M122" s="162">
        <f t="shared" si="33"/>
        <v>0</v>
      </c>
      <c r="N122" s="330"/>
      <c r="O122" s="162">
        <f t="shared" si="34"/>
        <v>0</v>
      </c>
      <c r="P122" s="162">
        <f t="shared" si="35"/>
        <v>0</v>
      </c>
    </row>
    <row r="123" spans="2:16">
      <c r="B123" s="9" t="str">
        <f t="shared" si="27"/>
        <v/>
      </c>
      <c r="C123" s="157">
        <f>IF(D93="","-",+C122+1)</f>
        <v>2036</v>
      </c>
      <c r="D123" s="158">
        <f>IF(F122+SUM(E$99:E122)=D$92,F122,D$92-SUM(E$99:E122))</f>
        <v>1587124.1400000001</v>
      </c>
      <c r="E123" s="165">
        <f t="shared" si="28"/>
        <v>76878</v>
      </c>
      <c r="F123" s="163">
        <f t="shared" si="29"/>
        <v>1510246.1400000001</v>
      </c>
      <c r="G123" s="163">
        <f t="shared" si="30"/>
        <v>1548685.1400000001</v>
      </c>
      <c r="H123" s="167">
        <f t="shared" si="31"/>
        <v>235983.04569432483</v>
      </c>
      <c r="I123" s="312">
        <f t="shared" si="32"/>
        <v>235983.04569432483</v>
      </c>
      <c r="J123" s="162">
        <f t="shared" si="21"/>
        <v>0</v>
      </c>
      <c r="K123" s="162"/>
      <c r="L123" s="330"/>
      <c r="M123" s="162">
        <f t="shared" si="33"/>
        <v>0</v>
      </c>
      <c r="N123" s="330"/>
      <c r="O123" s="162">
        <f t="shared" si="34"/>
        <v>0</v>
      </c>
      <c r="P123" s="162">
        <f t="shared" si="35"/>
        <v>0</v>
      </c>
    </row>
    <row r="124" spans="2:16">
      <c r="B124" s="9" t="str">
        <f t="shared" si="27"/>
        <v/>
      </c>
      <c r="C124" s="157">
        <f>IF(D93="","-",+C123+1)</f>
        <v>2037</v>
      </c>
      <c r="D124" s="158">
        <f>IF(F123+SUM(E$99:E123)=D$92,F123,D$92-SUM(E$99:E123))</f>
        <v>1510246.1400000001</v>
      </c>
      <c r="E124" s="165">
        <f t="shared" si="28"/>
        <v>76878</v>
      </c>
      <c r="F124" s="163">
        <f t="shared" si="29"/>
        <v>1433368.1400000001</v>
      </c>
      <c r="G124" s="163">
        <f t="shared" si="30"/>
        <v>1471807.1400000001</v>
      </c>
      <c r="H124" s="167">
        <f t="shared" si="31"/>
        <v>228084.94078780504</v>
      </c>
      <c r="I124" s="312">
        <f t="shared" si="32"/>
        <v>228084.94078780504</v>
      </c>
      <c r="J124" s="162">
        <f t="shared" si="21"/>
        <v>0</v>
      </c>
      <c r="K124" s="162"/>
      <c r="L124" s="330"/>
      <c r="M124" s="162">
        <f t="shared" si="33"/>
        <v>0</v>
      </c>
      <c r="N124" s="330"/>
      <c r="O124" s="162">
        <f t="shared" si="34"/>
        <v>0</v>
      </c>
      <c r="P124" s="162">
        <f t="shared" si="35"/>
        <v>0</v>
      </c>
    </row>
    <row r="125" spans="2:16">
      <c r="B125" s="9" t="str">
        <f t="shared" si="27"/>
        <v/>
      </c>
      <c r="C125" s="157">
        <f>IF(D93="","-",+C124+1)</f>
        <v>2038</v>
      </c>
      <c r="D125" s="158">
        <f>IF(F124+SUM(E$99:E124)=D$92,F124,D$92-SUM(E$99:E124))</f>
        <v>1433368.1400000001</v>
      </c>
      <c r="E125" s="165">
        <f t="shared" si="28"/>
        <v>76878</v>
      </c>
      <c r="F125" s="163">
        <f t="shared" si="29"/>
        <v>1356490.1400000001</v>
      </c>
      <c r="G125" s="163">
        <f t="shared" si="30"/>
        <v>1394929.1400000001</v>
      </c>
      <c r="H125" s="167">
        <f t="shared" si="31"/>
        <v>220186.83588128525</v>
      </c>
      <c r="I125" s="312">
        <f t="shared" si="32"/>
        <v>220186.83588128525</v>
      </c>
      <c r="J125" s="162">
        <f t="shared" si="21"/>
        <v>0</v>
      </c>
      <c r="K125" s="162"/>
      <c r="L125" s="330"/>
      <c r="M125" s="162">
        <f t="shared" si="33"/>
        <v>0</v>
      </c>
      <c r="N125" s="330"/>
      <c r="O125" s="162">
        <f t="shared" si="34"/>
        <v>0</v>
      </c>
      <c r="P125" s="162">
        <f t="shared" si="35"/>
        <v>0</v>
      </c>
    </row>
    <row r="126" spans="2:16">
      <c r="B126" s="9" t="str">
        <f t="shared" si="27"/>
        <v/>
      </c>
      <c r="C126" s="157">
        <f>IF(D93="","-",+C125+1)</f>
        <v>2039</v>
      </c>
      <c r="D126" s="158">
        <f>IF(F125+SUM(E$99:E125)=D$92,F125,D$92-SUM(E$99:E125))</f>
        <v>1356490.1400000001</v>
      </c>
      <c r="E126" s="165">
        <f t="shared" si="28"/>
        <v>76878</v>
      </c>
      <c r="F126" s="163">
        <f t="shared" si="29"/>
        <v>1279612.1400000001</v>
      </c>
      <c r="G126" s="163">
        <f t="shared" si="30"/>
        <v>1318051.1400000001</v>
      </c>
      <c r="H126" s="167">
        <f t="shared" si="31"/>
        <v>212288.73097476544</v>
      </c>
      <c r="I126" s="312">
        <f t="shared" si="32"/>
        <v>212288.73097476544</v>
      </c>
      <c r="J126" s="162">
        <f t="shared" si="21"/>
        <v>0</v>
      </c>
      <c r="K126" s="162"/>
      <c r="L126" s="330"/>
      <c r="M126" s="162">
        <f t="shared" si="33"/>
        <v>0</v>
      </c>
      <c r="N126" s="330"/>
      <c r="O126" s="162">
        <f t="shared" si="34"/>
        <v>0</v>
      </c>
      <c r="P126" s="162">
        <f t="shared" si="35"/>
        <v>0</v>
      </c>
    </row>
    <row r="127" spans="2:16">
      <c r="B127" s="9" t="str">
        <f t="shared" si="27"/>
        <v/>
      </c>
      <c r="C127" s="157">
        <f>IF(D93="","-",+C126+1)</f>
        <v>2040</v>
      </c>
      <c r="D127" s="158">
        <f>IF(F126+SUM(E$99:E126)=D$92,F126,D$92-SUM(E$99:E126))</f>
        <v>1279612.1400000001</v>
      </c>
      <c r="E127" s="165">
        <f t="shared" si="28"/>
        <v>76878</v>
      </c>
      <c r="F127" s="163">
        <f t="shared" si="29"/>
        <v>1202734.1400000001</v>
      </c>
      <c r="G127" s="163">
        <f t="shared" si="30"/>
        <v>1241173.1400000001</v>
      </c>
      <c r="H127" s="167">
        <f t="shared" si="31"/>
        <v>204390.62606824562</v>
      </c>
      <c r="I127" s="312">
        <f t="shared" si="32"/>
        <v>204390.62606824562</v>
      </c>
      <c r="J127" s="162">
        <f t="shared" si="21"/>
        <v>0</v>
      </c>
      <c r="K127" s="162"/>
      <c r="L127" s="330"/>
      <c r="M127" s="162">
        <f t="shared" si="33"/>
        <v>0</v>
      </c>
      <c r="N127" s="330"/>
      <c r="O127" s="162">
        <f t="shared" si="34"/>
        <v>0</v>
      </c>
      <c r="P127" s="162">
        <f t="shared" si="35"/>
        <v>0</v>
      </c>
    </row>
    <row r="128" spans="2:16">
      <c r="B128" s="9" t="str">
        <f t="shared" si="27"/>
        <v/>
      </c>
      <c r="C128" s="157">
        <f>IF(D93="","-",+C127+1)</f>
        <v>2041</v>
      </c>
      <c r="D128" s="158">
        <f>IF(F127+SUM(E$99:E127)=D$92,F127,D$92-SUM(E$99:E127))</f>
        <v>1202734.1400000001</v>
      </c>
      <c r="E128" s="165">
        <f t="shared" si="28"/>
        <v>76878</v>
      </c>
      <c r="F128" s="163">
        <f t="shared" si="29"/>
        <v>1125856.1400000001</v>
      </c>
      <c r="G128" s="163">
        <f t="shared" si="30"/>
        <v>1164295.1400000001</v>
      </c>
      <c r="H128" s="167">
        <f t="shared" si="31"/>
        <v>196492.52116172583</v>
      </c>
      <c r="I128" s="312">
        <f t="shared" si="32"/>
        <v>196492.52116172583</v>
      </c>
      <c r="J128" s="162">
        <f t="shared" si="21"/>
        <v>0</v>
      </c>
      <c r="K128" s="162"/>
      <c r="L128" s="330"/>
      <c r="M128" s="162">
        <f t="shared" si="33"/>
        <v>0</v>
      </c>
      <c r="N128" s="330"/>
      <c r="O128" s="162">
        <f t="shared" si="34"/>
        <v>0</v>
      </c>
      <c r="P128" s="162">
        <f t="shared" si="35"/>
        <v>0</v>
      </c>
    </row>
    <row r="129" spans="2:16">
      <c r="B129" s="9" t="str">
        <f t="shared" si="27"/>
        <v/>
      </c>
      <c r="C129" s="157">
        <f>IF(D93="","-",+C128+1)</f>
        <v>2042</v>
      </c>
      <c r="D129" s="158">
        <f>IF(F128+SUM(E$99:E128)=D$92,F128,D$92-SUM(E$99:E128))</f>
        <v>1125856.1400000001</v>
      </c>
      <c r="E129" s="165">
        <f t="shared" si="28"/>
        <v>76878</v>
      </c>
      <c r="F129" s="163">
        <f t="shared" si="29"/>
        <v>1048978.1400000001</v>
      </c>
      <c r="G129" s="163">
        <f t="shared" si="30"/>
        <v>1087417.1400000001</v>
      </c>
      <c r="H129" s="167">
        <f t="shared" si="31"/>
        <v>188594.41625520604</v>
      </c>
      <c r="I129" s="312">
        <f t="shared" si="32"/>
        <v>188594.41625520604</v>
      </c>
      <c r="J129" s="162">
        <f t="shared" si="21"/>
        <v>0</v>
      </c>
      <c r="K129" s="162"/>
      <c r="L129" s="330"/>
      <c r="M129" s="162">
        <f t="shared" si="33"/>
        <v>0</v>
      </c>
      <c r="N129" s="330"/>
      <c r="O129" s="162">
        <f t="shared" si="34"/>
        <v>0</v>
      </c>
      <c r="P129" s="162">
        <f t="shared" si="35"/>
        <v>0</v>
      </c>
    </row>
    <row r="130" spans="2:16">
      <c r="B130" s="9" t="str">
        <f t="shared" si="27"/>
        <v/>
      </c>
      <c r="C130" s="157">
        <f>IF(D93="","-",+C129+1)</f>
        <v>2043</v>
      </c>
      <c r="D130" s="158">
        <f>IF(F129+SUM(E$99:E129)=D$92,F129,D$92-SUM(E$99:E129))</f>
        <v>1048978.1400000001</v>
      </c>
      <c r="E130" s="165">
        <f t="shared" si="28"/>
        <v>76878</v>
      </c>
      <c r="F130" s="163">
        <f t="shared" si="29"/>
        <v>972100.14000000013</v>
      </c>
      <c r="G130" s="163">
        <f t="shared" si="30"/>
        <v>1010539.1400000001</v>
      </c>
      <c r="H130" s="167">
        <f t="shared" si="31"/>
        <v>180696.31134868623</v>
      </c>
      <c r="I130" s="312">
        <f t="shared" si="32"/>
        <v>180696.31134868623</v>
      </c>
      <c r="J130" s="162">
        <f t="shared" si="21"/>
        <v>0</v>
      </c>
      <c r="K130" s="162"/>
      <c r="L130" s="330"/>
      <c r="M130" s="162">
        <f t="shared" si="33"/>
        <v>0</v>
      </c>
      <c r="N130" s="330"/>
      <c r="O130" s="162">
        <f t="shared" si="34"/>
        <v>0</v>
      </c>
      <c r="P130" s="162">
        <f t="shared" si="35"/>
        <v>0</v>
      </c>
    </row>
    <row r="131" spans="2:16">
      <c r="B131" s="9" t="str">
        <f t="shared" si="27"/>
        <v/>
      </c>
      <c r="C131" s="157">
        <f>IF(D93="","-",+C130+1)</f>
        <v>2044</v>
      </c>
      <c r="D131" s="158">
        <f>IF(F130+SUM(E$99:E130)=D$92,F130,D$92-SUM(E$99:E130))</f>
        <v>972100.14000000013</v>
      </c>
      <c r="E131" s="165">
        <f t="shared" si="28"/>
        <v>76878</v>
      </c>
      <c r="F131" s="163">
        <f t="shared" si="29"/>
        <v>895222.14000000013</v>
      </c>
      <c r="G131" s="163">
        <f t="shared" si="30"/>
        <v>933661.14000000013</v>
      </c>
      <c r="H131" s="167">
        <f t="shared" ref="H131:H154" si="36">+J$94*G131+E131</f>
        <v>172798.20644216644</v>
      </c>
      <c r="I131" s="312">
        <f t="shared" ref="I131:I154" si="37">+J$95*G131+E131</f>
        <v>172798.20644216644</v>
      </c>
      <c r="J131" s="162">
        <f t="shared" ref="J131:J154" si="38">+I541-H541</f>
        <v>0</v>
      </c>
      <c r="K131" s="162"/>
      <c r="L131" s="330"/>
      <c r="M131" s="162">
        <f t="shared" ref="M131:M154" si="39">IF(L541&lt;&gt;0,+H541-L541,0)</f>
        <v>0</v>
      </c>
      <c r="N131" s="330"/>
      <c r="O131" s="162">
        <f t="shared" ref="O131:O154" si="40">IF(N541&lt;&gt;0,+I541-N541,0)</f>
        <v>0</v>
      </c>
      <c r="P131" s="162">
        <f t="shared" ref="P131:P154" si="41">+O541-M541</f>
        <v>0</v>
      </c>
    </row>
    <row r="132" spans="2:16">
      <c r="B132" s="9" t="str">
        <f t="shared" ref="B132:B154" si="42">IF(D132=F131,"","IU")</f>
        <v/>
      </c>
      <c r="C132" s="157">
        <f>IF(D93="","-",+C131+1)</f>
        <v>2045</v>
      </c>
      <c r="D132" s="158">
        <f>IF(F131+SUM(E$99:E131)=D$92,F131,D$92-SUM(E$99:E131))</f>
        <v>895222.14000000013</v>
      </c>
      <c r="E132" s="165">
        <f t="shared" si="28"/>
        <v>76878</v>
      </c>
      <c r="F132" s="163">
        <f t="shared" si="29"/>
        <v>818344.14000000013</v>
      </c>
      <c r="G132" s="163">
        <f t="shared" si="30"/>
        <v>856783.14000000013</v>
      </c>
      <c r="H132" s="167">
        <f t="shared" si="36"/>
        <v>164900.10153564665</v>
      </c>
      <c r="I132" s="312">
        <f t="shared" si="37"/>
        <v>164900.10153564665</v>
      </c>
      <c r="J132" s="162">
        <f t="shared" si="38"/>
        <v>0</v>
      </c>
      <c r="K132" s="162"/>
      <c r="L132" s="330"/>
      <c r="M132" s="162">
        <f t="shared" si="39"/>
        <v>0</v>
      </c>
      <c r="N132" s="330"/>
      <c r="O132" s="162">
        <f t="shared" si="40"/>
        <v>0</v>
      </c>
      <c r="P132" s="162">
        <f t="shared" si="41"/>
        <v>0</v>
      </c>
    </row>
    <row r="133" spans="2:16">
      <c r="B133" s="9" t="str">
        <f t="shared" si="42"/>
        <v/>
      </c>
      <c r="C133" s="157">
        <f>IF(D93="","-",+C132+1)</f>
        <v>2046</v>
      </c>
      <c r="D133" s="158">
        <f>IF(F132+SUM(E$99:E132)=D$92,F132,D$92-SUM(E$99:E132))</f>
        <v>818344.14000000013</v>
      </c>
      <c r="E133" s="165">
        <f t="shared" si="28"/>
        <v>76878</v>
      </c>
      <c r="F133" s="163">
        <f t="shared" si="29"/>
        <v>741466.14000000013</v>
      </c>
      <c r="G133" s="163">
        <f t="shared" si="30"/>
        <v>779905.14000000013</v>
      </c>
      <c r="H133" s="167">
        <f t="shared" si="36"/>
        <v>157001.99662912684</v>
      </c>
      <c r="I133" s="312">
        <f t="shared" si="37"/>
        <v>157001.99662912684</v>
      </c>
      <c r="J133" s="162">
        <f t="shared" si="38"/>
        <v>0</v>
      </c>
      <c r="K133" s="162"/>
      <c r="L133" s="330"/>
      <c r="M133" s="162">
        <f t="shared" si="39"/>
        <v>0</v>
      </c>
      <c r="N133" s="330"/>
      <c r="O133" s="162">
        <f t="shared" si="40"/>
        <v>0</v>
      </c>
      <c r="P133" s="162">
        <f t="shared" si="41"/>
        <v>0</v>
      </c>
    </row>
    <row r="134" spans="2:16">
      <c r="B134" s="9" t="str">
        <f t="shared" si="42"/>
        <v/>
      </c>
      <c r="C134" s="157">
        <f>IF(D93="","-",+C133+1)</f>
        <v>2047</v>
      </c>
      <c r="D134" s="158">
        <f>IF(F133+SUM(E$99:E133)=D$92,F133,D$92-SUM(E$99:E133))</f>
        <v>741466.14000000013</v>
      </c>
      <c r="E134" s="165">
        <f t="shared" si="28"/>
        <v>76878</v>
      </c>
      <c r="F134" s="163">
        <f t="shared" si="29"/>
        <v>664588.14000000013</v>
      </c>
      <c r="G134" s="163">
        <f t="shared" si="30"/>
        <v>703027.14000000013</v>
      </c>
      <c r="H134" s="167">
        <f t="shared" si="36"/>
        <v>149103.89172260702</v>
      </c>
      <c r="I134" s="312">
        <f t="shared" si="37"/>
        <v>149103.89172260702</v>
      </c>
      <c r="J134" s="162">
        <f t="shared" si="38"/>
        <v>0</v>
      </c>
      <c r="K134" s="162"/>
      <c r="L134" s="330"/>
      <c r="M134" s="162">
        <f t="shared" si="39"/>
        <v>0</v>
      </c>
      <c r="N134" s="330"/>
      <c r="O134" s="162">
        <f t="shared" si="40"/>
        <v>0</v>
      </c>
      <c r="P134" s="162">
        <f t="shared" si="41"/>
        <v>0</v>
      </c>
    </row>
    <row r="135" spans="2:16">
      <c r="B135" s="9" t="str">
        <f t="shared" si="42"/>
        <v/>
      </c>
      <c r="C135" s="157">
        <f>IF(D93="","-",+C134+1)</f>
        <v>2048</v>
      </c>
      <c r="D135" s="158">
        <f>IF(F134+SUM(E$99:E134)=D$92,F134,D$92-SUM(E$99:E134))</f>
        <v>664588.14000000013</v>
      </c>
      <c r="E135" s="165">
        <f t="shared" si="28"/>
        <v>76878</v>
      </c>
      <c r="F135" s="163">
        <f t="shared" si="29"/>
        <v>587710.14000000013</v>
      </c>
      <c r="G135" s="163">
        <f t="shared" si="30"/>
        <v>626149.14000000013</v>
      </c>
      <c r="H135" s="167">
        <f t="shared" si="36"/>
        <v>141205.78681608723</v>
      </c>
      <c r="I135" s="312">
        <f t="shared" si="37"/>
        <v>141205.78681608723</v>
      </c>
      <c r="J135" s="162">
        <f t="shared" si="38"/>
        <v>0</v>
      </c>
      <c r="K135" s="162"/>
      <c r="L135" s="330"/>
      <c r="M135" s="162">
        <f t="shared" si="39"/>
        <v>0</v>
      </c>
      <c r="N135" s="330"/>
      <c r="O135" s="162">
        <f t="shared" si="40"/>
        <v>0</v>
      </c>
      <c r="P135" s="162">
        <f t="shared" si="41"/>
        <v>0</v>
      </c>
    </row>
    <row r="136" spans="2:16">
      <c r="B136" s="9" t="str">
        <f t="shared" si="42"/>
        <v/>
      </c>
      <c r="C136" s="157">
        <f>IF(D93="","-",+C135+1)</f>
        <v>2049</v>
      </c>
      <c r="D136" s="158">
        <f>IF(F135+SUM(E$99:E135)=D$92,F135,D$92-SUM(E$99:E135))</f>
        <v>587710.14000000013</v>
      </c>
      <c r="E136" s="165">
        <f t="shared" si="28"/>
        <v>76878</v>
      </c>
      <c r="F136" s="163">
        <f t="shared" si="29"/>
        <v>510832.14000000013</v>
      </c>
      <c r="G136" s="163">
        <f t="shared" si="30"/>
        <v>549271.14000000013</v>
      </c>
      <c r="H136" s="167">
        <f t="shared" si="36"/>
        <v>133307.68190956744</v>
      </c>
      <c r="I136" s="312">
        <f t="shared" si="37"/>
        <v>133307.68190956744</v>
      </c>
      <c r="J136" s="162">
        <f t="shared" si="38"/>
        <v>0</v>
      </c>
      <c r="K136" s="162"/>
      <c r="L136" s="330"/>
      <c r="M136" s="162">
        <f t="shared" si="39"/>
        <v>0</v>
      </c>
      <c r="N136" s="330"/>
      <c r="O136" s="162">
        <f t="shared" si="40"/>
        <v>0</v>
      </c>
      <c r="P136" s="162">
        <f t="shared" si="41"/>
        <v>0</v>
      </c>
    </row>
    <row r="137" spans="2:16">
      <c r="B137" s="9" t="str">
        <f t="shared" si="42"/>
        <v/>
      </c>
      <c r="C137" s="157">
        <f>IF(D93="","-",+C136+1)</f>
        <v>2050</v>
      </c>
      <c r="D137" s="158">
        <f>IF(F136+SUM(E$99:E136)=D$92,F136,D$92-SUM(E$99:E136))</f>
        <v>510832.14000000013</v>
      </c>
      <c r="E137" s="165">
        <f t="shared" si="28"/>
        <v>76878</v>
      </c>
      <c r="F137" s="163">
        <f t="shared" si="29"/>
        <v>433954.14000000013</v>
      </c>
      <c r="G137" s="163">
        <f t="shared" si="30"/>
        <v>472393.14000000013</v>
      </c>
      <c r="H137" s="167">
        <f t="shared" si="36"/>
        <v>125409.57700304763</v>
      </c>
      <c r="I137" s="312">
        <f t="shared" si="37"/>
        <v>125409.57700304763</v>
      </c>
      <c r="J137" s="162">
        <f t="shared" si="38"/>
        <v>0</v>
      </c>
      <c r="K137" s="162"/>
      <c r="L137" s="330"/>
      <c r="M137" s="162">
        <f t="shared" si="39"/>
        <v>0</v>
      </c>
      <c r="N137" s="330"/>
      <c r="O137" s="162">
        <f t="shared" si="40"/>
        <v>0</v>
      </c>
      <c r="P137" s="162">
        <f t="shared" si="41"/>
        <v>0</v>
      </c>
    </row>
    <row r="138" spans="2:16">
      <c r="B138" s="9" t="str">
        <f t="shared" si="42"/>
        <v/>
      </c>
      <c r="C138" s="157">
        <f>IF(D93="","-",+C137+1)</f>
        <v>2051</v>
      </c>
      <c r="D138" s="158">
        <f>IF(F137+SUM(E$99:E137)=D$92,F137,D$92-SUM(E$99:E137))</f>
        <v>433954.14000000013</v>
      </c>
      <c r="E138" s="165">
        <f t="shared" si="28"/>
        <v>76878</v>
      </c>
      <c r="F138" s="163">
        <f t="shared" si="29"/>
        <v>357076.14000000013</v>
      </c>
      <c r="G138" s="163">
        <f t="shared" si="30"/>
        <v>395515.14000000013</v>
      </c>
      <c r="H138" s="167">
        <f t="shared" si="36"/>
        <v>117511.47209652784</v>
      </c>
      <c r="I138" s="312">
        <f t="shared" si="37"/>
        <v>117511.47209652784</v>
      </c>
      <c r="J138" s="162">
        <f t="shared" si="38"/>
        <v>0</v>
      </c>
      <c r="K138" s="162"/>
      <c r="L138" s="330"/>
      <c r="M138" s="162">
        <f t="shared" si="39"/>
        <v>0</v>
      </c>
      <c r="N138" s="330"/>
      <c r="O138" s="162">
        <f t="shared" si="40"/>
        <v>0</v>
      </c>
      <c r="P138" s="162">
        <f t="shared" si="41"/>
        <v>0</v>
      </c>
    </row>
    <row r="139" spans="2:16">
      <c r="B139" s="9" t="str">
        <f t="shared" si="42"/>
        <v/>
      </c>
      <c r="C139" s="157">
        <f>IF(D93="","-",+C138+1)</f>
        <v>2052</v>
      </c>
      <c r="D139" s="158">
        <f>IF(F138+SUM(E$99:E138)=D$92,F138,D$92-SUM(E$99:E138))</f>
        <v>357076.14000000013</v>
      </c>
      <c r="E139" s="165">
        <f t="shared" si="28"/>
        <v>76878</v>
      </c>
      <c r="F139" s="163">
        <f t="shared" si="29"/>
        <v>280198.14000000013</v>
      </c>
      <c r="G139" s="163">
        <f t="shared" si="30"/>
        <v>318637.14000000013</v>
      </c>
      <c r="H139" s="167">
        <f t="shared" si="36"/>
        <v>109613.36719000804</v>
      </c>
      <c r="I139" s="312">
        <f t="shared" si="37"/>
        <v>109613.36719000804</v>
      </c>
      <c r="J139" s="162">
        <f t="shared" si="38"/>
        <v>0</v>
      </c>
      <c r="K139" s="162"/>
      <c r="L139" s="330"/>
      <c r="M139" s="162">
        <f t="shared" si="39"/>
        <v>0</v>
      </c>
      <c r="N139" s="330"/>
      <c r="O139" s="162">
        <f t="shared" si="40"/>
        <v>0</v>
      </c>
      <c r="P139" s="162">
        <f t="shared" si="41"/>
        <v>0</v>
      </c>
    </row>
    <row r="140" spans="2:16">
      <c r="B140" s="9" t="str">
        <f t="shared" si="42"/>
        <v/>
      </c>
      <c r="C140" s="157">
        <f>IF(D93="","-",+C139+1)</f>
        <v>2053</v>
      </c>
      <c r="D140" s="158">
        <f>IF(F139+SUM(E$99:E139)=D$92,F139,D$92-SUM(E$99:E139))</f>
        <v>280198.14000000013</v>
      </c>
      <c r="E140" s="165">
        <f t="shared" si="28"/>
        <v>76878</v>
      </c>
      <c r="F140" s="163">
        <f t="shared" si="29"/>
        <v>203320.14000000013</v>
      </c>
      <c r="G140" s="163">
        <f t="shared" si="30"/>
        <v>241759.14000000013</v>
      </c>
      <c r="H140" s="167">
        <f t="shared" si="36"/>
        <v>101715.26228348823</v>
      </c>
      <c r="I140" s="312">
        <f t="shared" si="37"/>
        <v>101715.26228348823</v>
      </c>
      <c r="J140" s="162">
        <f t="shared" si="38"/>
        <v>0</v>
      </c>
      <c r="K140" s="162"/>
      <c r="L140" s="330"/>
      <c r="M140" s="162">
        <f t="shared" si="39"/>
        <v>0</v>
      </c>
      <c r="N140" s="330"/>
      <c r="O140" s="162">
        <f t="shared" si="40"/>
        <v>0</v>
      </c>
      <c r="P140" s="162">
        <f t="shared" si="41"/>
        <v>0</v>
      </c>
    </row>
    <row r="141" spans="2:16">
      <c r="B141" s="9" t="str">
        <f t="shared" si="42"/>
        <v/>
      </c>
      <c r="C141" s="157">
        <f>IF(D93="","-",+C140+1)</f>
        <v>2054</v>
      </c>
      <c r="D141" s="158">
        <f>IF(F140+SUM(E$99:E140)=D$92,F140,D$92-SUM(E$99:E140))</f>
        <v>203320.14000000013</v>
      </c>
      <c r="E141" s="165">
        <f t="shared" si="28"/>
        <v>76878</v>
      </c>
      <c r="F141" s="163">
        <f t="shared" si="29"/>
        <v>126442.14000000013</v>
      </c>
      <c r="G141" s="163">
        <f t="shared" si="30"/>
        <v>164881.14000000013</v>
      </c>
      <c r="H141" s="167">
        <f t="shared" si="36"/>
        <v>93817.157376968433</v>
      </c>
      <c r="I141" s="312">
        <f t="shared" si="37"/>
        <v>93817.157376968433</v>
      </c>
      <c r="J141" s="162">
        <f t="shared" si="38"/>
        <v>0</v>
      </c>
      <c r="K141" s="162"/>
      <c r="L141" s="330"/>
      <c r="M141" s="162">
        <f t="shared" si="39"/>
        <v>0</v>
      </c>
      <c r="N141" s="330"/>
      <c r="O141" s="162">
        <f t="shared" si="40"/>
        <v>0</v>
      </c>
      <c r="P141" s="162">
        <f t="shared" si="41"/>
        <v>0</v>
      </c>
    </row>
    <row r="142" spans="2:16">
      <c r="B142" s="9" t="str">
        <f t="shared" si="42"/>
        <v/>
      </c>
      <c r="C142" s="157">
        <f>IF(D93="","-",+C141+1)</f>
        <v>2055</v>
      </c>
      <c r="D142" s="158">
        <f>IF(F141+SUM(E$99:E141)=D$92,F141,D$92-SUM(E$99:E141))</f>
        <v>126442.14000000013</v>
      </c>
      <c r="E142" s="165">
        <f t="shared" si="28"/>
        <v>76878</v>
      </c>
      <c r="F142" s="163">
        <f t="shared" si="29"/>
        <v>49564.14000000013</v>
      </c>
      <c r="G142" s="163">
        <f t="shared" si="30"/>
        <v>88003.14000000013</v>
      </c>
      <c r="H142" s="167">
        <f t="shared" si="36"/>
        <v>85919.052470448631</v>
      </c>
      <c r="I142" s="312">
        <f t="shared" si="37"/>
        <v>85919.052470448631</v>
      </c>
      <c r="J142" s="162">
        <f t="shared" si="38"/>
        <v>0</v>
      </c>
      <c r="K142" s="162"/>
      <c r="L142" s="330"/>
      <c r="M142" s="162">
        <f t="shared" si="39"/>
        <v>0</v>
      </c>
      <c r="N142" s="330"/>
      <c r="O142" s="162">
        <f t="shared" si="40"/>
        <v>0</v>
      </c>
      <c r="P142" s="162">
        <f t="shared" si="41"/>
        <v>0</v>
      </c>
    </row>
    <row r="143" spans="2:16">
      <c r="B143" s="9" t="str">
        <f t="shared" si="42"/>
        <v/>
      </c>
      <c r="C143" s="157">
        <f>IF(D93="","-",+C142+1)</f>
        <v>2056</v>
      </c>
      <c r="D143" s="158">
        <f>IF(F142+SUM(E$99:E142)=D$92,F142,D$92-SUM(E$99:E142))</f>
        <v>49564.14000000013</v>
      </c>
      <c r="E143" s="165">
        <f t="shared" si="28"/>
        <v>49564.14000000013</v>
      </c>
      <c r="F143" s="163">
        <f t="shared" si="29"/>
        <v>0</v>
      </c>
      <c r="G143" s="163">
        <f t="shared" si="30"/>
        <v>24782.070000000065</v>
      </c>
      <c r="H143" s="167">
        <f t="shared" si="36"/>
        <v>52110.140008594499</v>
      </c>
      <c r="I143" s="312">
        <f t="shared" si="37"/>
        <v>52110.140008594499</v>
      </c>
      <c r="J143" s="162">
        <f t="shared" si="38"/>
        <v>0</v>
      </c>
      <c r="K143" s="162"/>
      <c r="L143" s="330"/>
      <c r="M143" s="162">
        <f t="shared" si="39"/>
        <v>0</v>
      </c>
      <c r="N143" s="330"/>
      <c r="O143" s="162">
        <f t="shared" si="40"/>
        <v>0</v>
      </c>
      <c r="P143" s="162">
        <f t="shared" si="41"/>
        <v>0</v>
      </c>
    </row>
    <row r="144" spans="2:16">
      <c r="B144" s="9" t="str">
        <f t="shared" si="42"/>
        <v/>
      </c>
      <c r="C144" s="157">
        <f>IF(D93="","-",+C143+1)</f>
        <v>2057</v>
      </c>
      <c r="D144" s="158">
        <f>IF(F143+SUM(E$99:E143)=D$92,F143,D$92-SUM(E$99:E143))</f>
        <v>0</v>
      </c>
      <c r="E144" s="165">
        <f t="shared" si="28"/>
        <v>0</v>
      </c>
      <c r="F144" s="163">
        <f t="shared" si="29"/>
        <v>0</v>
      </c>
      <c r="G144" s="163">
        <f t="shared" si="30"/>
        <v>0</v>
      </c>
      <c r="H144" s="167">
        <f t="shared" si="36"/>
        <v>0</v>
      </c>
      <c r="I144" s="312">
        <f t="shared" si="37"/>
        <v>0</v>
      </c>
      <c r="J144" s="162">
        <f t="shared" si="38"/>
        <v>0</v>
      </c>
      <c r="K144" s="162"/>
      <c r="L144" s="330"/>
      <c r="M144" s="162">
        <f t="shared" si="39"/>
        <v>0</v>
      </c>
      <c r="N144" s="330"/>
      <c r="O144" s="162">
        <f t="shared" si="40"/>
        <v>0</v>
      </c>
      <c r="P144" s="162">
        <f t="shared" si="41"/>
        <v>0</v>
      </c>
    </row>
    <row r="145" spans="2:16">
      <c r="B145" s="9" t="str">
        <f t="shared" si="42"/>
        <v/>
      </c>
      <c r="C145" s="157">
        <f>IF(D93="","-",+C144+1)</f>
        <v>2058</v>
      </c>
      <c r="D145" s="158">
        <f>IF(F144+SUM(E$99:E144)=D$92,F144,D$92-SUM(E$99:E144))</f>
        <v>0</v>
      </c>
      <c r="E145" s="165">
        <f t="shared" si="28"/>
        <v>0</v>
      </c>
      <c r="F145" s="163">
        <f t="shared" si="29"/>
        <v>0</v>
      </c>
      <c r="G145" s="163">
        <f t="shared" si="30"/>
        <v>0</v>
      </c>
      <c r="H145" s="167">
        <f t="shared" si="36"/>
        <v>0</v>
      </c>
      <c r="I145" s="312">
        <f t="shared" si="37"/>
        <v>0</v>
      </c>
      <c r="J145" s="162">
        <f t="shared" si="38"/>
        <v>0</v>
      </c>
      <c r="K145" s="162"/>
      <c r="L145" s="330"/>
      <c r="M145" s="162">
        <f t="shared" si="39"/>
        <v>0</v>
      </c>
      <c r="N145" s="330"/>
      <c r="O145" s="162">
        <f t="shared" si="40"/>
        <v>0</v>
      </c>
      <c r="P145" s="162">
        <f t="shared" si="41"/>
        <v>0</v>
      </c>
    </row>
    <row r="146" spans="2:16">
      <c r="B146" s="9" t="str">
        <f t="shared" si="42"/>
        <v/>
      </c>
      <c r="C146" s="157">
        <f>IF(D93="","-",+C145+1)</f>
        <v>2059</v>
      </c>
      <c r="D146" s="158">
        <f>IF(F145+SUM(E$99:E145)=D$92,F145,D$92-SUM(E$99:E145))</f>
        <v>0</v>
      </c>
      <c r="E146" s="165">
        <f t="shared" si="28"/>
        <v>0</v>
      </c>
      <c r="F146" s="163">
        <f t="shared" si="29"/>
        <v>0</v>
      </c>
      <c r="G146" s="163">
        <f t="shared" si="30"/>
        <v>0</v>
      </c>
      <c r="H146" s="167">
        <f t="shared" si="36"/>
        <v>0</v>
      </c>
      <c r="I146" s="312">
        <f t="shared" si="37"/>
        <v>0</v>
      </c>
      <c r="J146" s="162">
        <f t="shared" si="38"/>
        <v>0</v>
      </c>
      <c r="K146" s="162"/>
      <c r="L146" s="330"/>
      <c r="M146" s="162">
        <f t="shared" si="39"/>
        <v>0</v>
      </c>
      <c r="N146" s="330"/>
      <c r="O146" s="162">
        <f t="shared" si="40"/>
        <v>0</v>
      </c>
      <c r="P146" s="162">
        <f t="shared" si="41"/>
        <v>0</v>
      </c>
    </row>
    <row r="147" spans="2:16">
      <c r="B147" s="9" t="str">
        <f t="shared" si="42"/>
        <v/>
      </c>
      <c r="C147" s="157">
        <f>IF(D93="","-",+C146+1)</f>
        <v>2060</v>
      </c>
      <c r="D147" s="158">
        <f>IF(F146+SUM(E$99:E146)=D$92,F146,D$92-SUM(E$99:E146))</f>
        <v>0</v>
      </c>
      <c r="E147" s="165">
        <f t="shared" si="28"/>
        <v>0</v>
      </c>
      <c r="F147" s="163">
        <f t="shared" si="29"/>
        <v>0</v>
      </c>
      <c r="G147" s="163">
        <f t="shared" si="30"/>
        <v>0</v>
      </c>
      <c r="H147" s="167">
        <f t="shared" si="36"/>
        <v>0</v>
      </c>
      <c r="I147" s="312">
        <f t="shared" si="37"/>
        <v>0</v>
      </c>
      <c r="J147" s="162">
        <f t="shared" si="38"/>
        <v>0</v>
      </c>
      <c r="K147" s="162"/>
      <c r="L147" s="330"/>
      <c r="M147" s="162">
        <f t="shared" si="39"/>
        <v>0</v>
      </c>
      <c r="N147" s="330"/>
      <c r="O147" s="162">
        <f t="shared" si="40"/>
        <v>0</v>
      </c>
      <c r="P147" s="162">
        <f t="shared" si="41"/>
        <v>0</v>
      </c>
    </row>
    <row r="148" spans="2:16">
      <c r="B148" s="9" t="str">
        <f t="shared" si="42"/>
        <v/>
      </c>
      <c r="C148" s="157">
        <f>IF(D93="","-",+C147+1)</f>
        <v>2061</v>
      </c>
      <c r="D148" s="158">
        <f>IF(F147+SUM(E$99:E147)=D$92,F147,D$92-SUM(E$99:E147))</f>
        <v>0</v>
      </c>
      <c r="E148" s="165">
        <f t="shared" si="28"/>
        <v>0</v>
      </c>
      <c r="F148" s="163">
        <f t="shared" si="29"/>
        <v>0</v>
      </c>
      <c r="G148" s="163">
        <f t="shared" si="30"/>
        <v>0</v>
      </c>
      <c r="H148" s="167">
        <f t="shared" si="36"/>
        <v>0</v>
      </c>
      <c r="I148" s="312">
        <f t="shared" si="37"/>
        <v>0</v>
      </c>
      <c r="J148" s="162">
        <f t="shared" si="38"/>
        <v>0</v>
      </c>
      <c r="K148" s="162"/>
      <c r="L148" s="330"/>
      <c r="M148" s="162">
        <f t="shared" si="39"/>
        <v>0</v>
      </c>
      <c r="N148" s="330"/>
      <c r="O148" s="162">
        <f t="shared" si="40"/>
        <v>0</v>
      </c>
      <c r="P148" s="162">
        <f t="shared" si="41"/>
        <v>0</v>
      </c>
    </row>
    <row r="149" spans="2:16">
      <c r="B149" s="9" t="str">
        <f t="shared" si="42"/>
        <v/>
      </c>
      <c r="C149" s="157">
        <f>IF(D93="","-",+C148+1)</f>
        <v>2062</v>
      </c>
      <c r="D149" s="158">
        <f>IF(F148+SUM(E$99:E148)=D$92,F148,D$92-SUM(E$99:E148))</f>
        <v>0</v>
      </c>
      <c r="E149" s="165">
        <f t="shared" si="28"/>
        <v>0</v>
      </c>
      <c r="F149" s="163">
        <f t="shared" si="29"/>
        <v>0</v>
      </c>
      <c r="G149" s="163">
        <f t="shared" si="30"/>
        <v>0</v>
      </c>
      <c r="H149" s="167">
        <f t="shared" si="36"/>
        <v>0</v>
      </c>
      <c r="I149" s="312">
        <f t="shared" si="37"/>
        <v>0</v>
      </c>
      <c r="J149" s="162">
        <f t="shared" si="38"/>
        <v>0</v>
      </c>
      <c r="K149" s="162"/>
      <c r="L149" s="330"/>
      <c r="M149" s="162">
        <f t="shared" si="39"/>
        <v>0</v>
      </c>
      <c r="N149" s="330"/>
      <c r="O149" s="162">
        <f t="shared" si="40"/>
        <v>0</v>
      </c>
      <c r="P149" s="162">
        <f t="shared" si="41"/>
        <v>0</v>
      </c>
    </row>
    <row r="150" spans="2:16">
      <c r="B150" s="9" t="str">
        <f t="shared" si="42"/>
        <v/>
      </c>
      <c r="C150" s="157">
        <f>IF(D93="","-",+C149+1)</f>
        <v>2063</v>
      </c>
      <c r="D150" s="158">
        <f>IF(F149+SUM(E$99:E149)=D$92,F149,D$92-SUM(E$99:E149))</f>
        <v>0</v>
      </c>
      <c r="E150" s="165">
        <f t="shared" si="28"/>
        <v>0</v>
      </c>
      <c r="F150" s="163">
        <f t="shared" si="29"/>
        <v>0</v>
      </c>
      <c r="G150" s="163">
        <f t="shared" si="30"/>
        <v>0</v>
      </c>
      <c r="H150" s="167">
        <f t="shared" si="36"/>
        <v>0</v>
      </c>
      <c r="I150" s="312">
        <f t="shared" si="37"/>
        <v>0</v>
      </c>
      <c r="J150" s="162">
        <f t="shared" si="38"/>
        <v>0</v>
      </c>
      <c r="K150" s="162"/>
      <c r="L150" s="330"/>
      <c r="M150" s="162">
        <f t="shared" si="39"/>
        <v>0</v>
      </c>
      <c r="N150" s="330"/>
      <c r="O150" s="162">
        <f t="shared" si="40"/>
        <v>0</v>
      </c>
      <c r="P150" s="162">
        <f t="shared" si="41"/>
        <v>0</v>
      </c>
    </row>
    <row r="151" spans="2:16">
      <c r="B151" s="9" t="str">
        <f t="shared" si="42"/>
        <v/>
      </c>
      <c r="C151" s="157">
        <f>IF(D93="","-",+C150+1)</f>
        <v>2064</v>
      </c>
      <c r="D151" s="158">
        <f>IF(F150+SUM(E$99:E150)=D$92,F150,D$92-SUM(E$99:E150))</f>
        <v>0</v>
      </c>
      <c r="E151" s="165">
        <f t="shared" si="28"/>
        <v>0</v>
      </c>
      <c r="F151" s="163">
        <f t="shared" si="29"/>
        <v>0</v>
      </c>
      <c r="G151" s="163">
        <f t="shared" si="30"/>
        <v>0</v>
      </c>
      <c r="H151" s="167">
        <f t="shared" si="36"/>
        <v>0</v>
      </c>
      <c r="I151" s="312">
        <f t="shared" si="37"/>
        <v>0</v>
      </c>
      <c r="J151" s="162">
        <f t="shared" si="38"/>
        <v>0</v>
      </c>
      <c r="K151" s="162"/>
      <c r="L151" s="330"/>
      <c r="M151" s="162">
        <f t="shared" si="39"/>
        <v>0</v>
      </c>
      <c r="N151" s="330"/>
      <c r="O151" s="162">
        <f t="shared" si="40"/>
        <v>0</v>
      </c>
      <c r="P151" s="162">
        <f t="shared" si="41"/>
        <v>0</v>
      </c>
    </row>
    <row r="152" spans="2:16">
      <c r="B152" s="9" t="str">
        <f t="shared" si="42"/>
        <v/>
      </c>
      <c r="C152" s="157">
        <f>IF(D93="","-",+C151+1)</f>
        <v>2065</v>
      </c>
      <c r="D152" s="158">
        <f>IF(F151+SUM(E$99:E151)=D$92,F151,D$92-SUM(E$99:E151))</f>
        <v>0</v>
      </c>
      <c r="E152" s="165">
        <f t="shared" si="28"/>
        <v>0</v>
      </c>
      <c r="F152" s="163">
        <f t="shared" si="29"/>
        <v>0</v>
      </c>
      <c r="G152" s="163">
        <f t="shared" si="30"/>
        <v>0</v>
      </c>
      <c r="H152" s="167">
        <f t="shared" si="36"/>
        <v>0</v>
      </c>
      <c r="I152" s="312">
        <f t="shared" si="37"/>
        <v>0</v>
      </c>
      <c r="J152" s="162">
        <f t="shared" si="38"/>
        <v>0</v>
      </c>
      <c r="K152" s="162"/>
      <c r="L152" s="330"/>
      <c r="M152" s="162">
        <f t="shared" si="39"/>
        <v>0</v>
      </c>
      <c r="N152" s="330"/>
      <c r="O152" s="162">
        <f t="shared" si="40"/>
        <v>0</v>
      </c>
      <c r="P152" s="162">
        <f t="shared" si="41"/>
        <v>0</v>
      </c>
    </row>
    <row r="153" spans="2:16">
      <c r="B153" s="9" t="str">
        <f t="shared" si="42"/>
        <v/>
      </c>
      <c r="C153" s="157">
        <f>IF(D93="","-",+C152+1)</f>
        <v>2066</v>
      </c>
      <c r="D153" s="158">
        <f>IF(F152+SUM(E$99:E152)=D$92,F152,D$92-SUM(E$99:E152))</f>
        <v>0</v>
      </c>
      <c r="E153" s="165">
        <f t="shared" si="28"/>
        <v>0</v>
      </c>
      <c r="F153" s="163">
        <f t="shared" si="29"/>
        <v>0</v>
      </c>
      <c r="G153" s="163">
        <f t="shared" si="30"/>
        <v>0</v>
      </c>
      <c r="H153" s="167">
        <f t="shared" si="36"/>
        <v>0</v>
      </c>
      <c r="I153" s="312">
        <f t="shared" si="37"/>
        <v>0</v>
      </c>
      <c r="J153" s="162">
        <f t="shared" si="38"/>
        <v>0</v>
      </c>
      <c r="K153" s="162"/>
      <c r="L153" s="330"/>
      <c r="M153" s="162">
        <f t="shared" si="39"/>
        <v>0</v>
      </c>
      <c r="N153" s="330"/>
      <c r="O153" s="162">
        <f t="shared" si="40"/>
        <v>0</v>
      </c>
      <c r="P153" s="162">
        <f t="shared" si="41"/>
        <v>0</v>
      </c>
    </row>
    <row r="154" spans="2:16" ht="13.5" thickBot="1">
      <c r="B154" s="9" t="str">
        <f t="shared" si="42"/>
        <v/>
      </c>
      <c r="C154" s="168">
        <f>IF(D93="","-",+C153+1)</f>
        <v>2067</v>
      </c>
      <c r="D154" s="219">
        <f>IF(F153+SUM(E$99:E153)=D$92,F153,D$92-SUM(E$99:E153))</f>
        <v>0</v>
      </c>
      <c r="E154" s="372">
        <f t="shared" si="28"/>
        <v>0</v>
      </c>
      <c r="F154" s="169">
        <f t="shared" si="29"/>
        <v>0</v>
      </c>
      <c r="G154" s="169">
        <f t="shared" si="30"/>
        <v>0</v>
      </c>
      <c r="H154" s="171">
        <f t="shared" si="36"/>
        <v>0</v>
      </c>
      <c r="I154" s="313">
        <f t="shared" si="37"/>
        <v>0</v>
      </c>
      <c r="J154" s="173">
        <f t="shared" si="38"/>
        <v>0</v>
      </c>
      <c r="K154" s="162"/>
      <c r="L154" s="331"/>
      <c r="M154" s="173">
        <f t="shared" si="39"/>
        <v>0</v>
      </c>
      <c r="N154" s="331"/>
      <c r="O154" s="173">
        <f t="shared" si="40"/>
        <v>0</v>
      </c>
      <c r="P154" s="173">
        <f t="shared" si="41"/>
        <v>0</v>
      </c>
    </row>
    <row r="155" spans="2:16">
      <c r="C155" s="158" t="s">
        <v>77</v>
      </c>
      <c r="D155" s="115"/>
      <c r="E155" s="115">
        <f>SUM(E99:E154)</f>
        <v>3305767.14</v>
      </c>
      <c r="F155" s="115"/>
      <c r="G155" s="115"/>
      <c r="H155" s="115">
        <f>SUM(H99:H154)</f>
        <v>11361275.71057914</v>
      </c>
      <c r="I155" s="115">
        <f>SUM(I99:I154)</f>
        <v>11361275.71057914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8:C72">
    <cfRule type="cellIs" dxfId="38" priority="2" stopIfTrue="1" operator="equal">
      <formula>$I$10</formula>
    </cfRule>
  </conditionalFormatting>
  <conditionalFormatting sqref="C99:C154">
    <cfRule type="cellIs" dxfId="37" priority="3" stopIfTrue="1" operator="equal">
      <formula>$J$92</formula>
    </cfRule>
  </conditionalFormatting>
  <conditionalFormatting sqref="C17">
    <cfRule type="cellIs" dxfId="36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view="pageBreakPreview" zoomScale="75" zoomScaleNormal="100" workbookViewId="0">
      <selection activeCell="D25" sqref="D25:H2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13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3091.0444444444443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3091.0444444444443</v>
      </c>
      <c r="O6" s="1"/>
      <c r="P6" s="1"/>
    </row>
    <row r="7" spans="1:16" ht="13.5" thickBot="1">
      <c r="C7" s="127" t="s">
        <v>46</v>
      </c>
      <c r="D7" s="338" t="s">
        <v>259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377" t="s">
        <v>239</v>
      </c>
      <c r="E9" s="406" t="s">
        <v>294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22097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2010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491.04444444444442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6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D11</f>
        <v>2010</v>
      </c>
      <c r="D17" s="361">
        <v>0</v>
      </c>
      <c r="E17" s="366">
        <v>0</v>
      </c>
      <c r="F17" s="366">
        <v>0</v>
      </c>
      <c r="G17" s="366">
        <v>0</v>
      </c>
      <c r="H17" s="388">
        <v>0</v>
      </c>
      <c r="I17" s="160">
        <f t="shared" ref="I17:I48" si="0">H17-G17</f>
        <v>0</v>
      </c>
      <c r="J17" s="175"/>
      <c r="K17" s="333">
        <f t="shared" ref="K17:K22" si="1">G17</f>
        <v>0</v>
      </c>
      <c r="L17" s="387">
        <f t="shared" ref="L17:L48" si="2">IF(K17&lt;&gt;0,+G17-K17,0)</f>
        <v>0</v>
      </c>
      <c r="M17" s="333">
        <f t="shared" ref="M17:M22" si="3">H17</f>
        <v>0</v>
      </c>
      <c r="N17" s="353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/>
      </c>
      <c r="C18" s="157">
        <f>IF($D$11="","-",+C17+1)</f>
        <v>2011</v>
      </c>
      <c r="D18" s="361">
        <v>0</v>
      </c>
      <c r="E18" s="366">
        <v>0</v>
      </c>
      <c r="F18" s="366">
        <v>0</v>
      </c>
      <c r="G18" s="366">
        <v>0</v>
      </c>
      <c r="H18" s="388">
        <v>0</v>
      </c>
      <c r="I18" s="160">
        <f t="shared" si="0"/>
        <v>0</v>
      </c>
      <c r="J18" s="175"/>
      <c r="K18" s="333">
        <f t="shared" si="1"/>
        <v>0</v>
      </c>
      <c r="L18" s="175">
        <f t="shared" si="2"/>
        <v>0</v>
      </c>
      <c r="M18" s="333">
        <f t="shared" si="3"/>
        <v>0</v>
      </c>
      <c r="N18" s="160">
        <f t="shared" si="4"/>
        <v>0</v>
      </c>
      <c r="O18" s="162">
        <f t="shared" si="5"/>
        <v>0</v>
      </c>
      <c r="P18" s="4"/>
    </row>
    <row r="19" spans="2:16">
      <c r="B19" s="9" t="str">
        <f t="shared" si="6"/>
        <v>IU</v>
      </c>
      <c r="C19" s="157">
        <f>IF(D11="","-",+C18+1)</f>
        <v>2012</v>
      </c>
      <c r="D19" s="361">
        <v>22097</v>
      </c>
      <c r="E19" s="363">
        <v>212.47115384615381</v>
      </c>
      <c r="F19" s="361">
        <v>21884.528846153848</v>
      </c>
      <c r="G19" s="363">
        <v>3258.944937760969</v>
      </c>
      <c r="H19" s="365">
        <v>3258.944937760969</v>
      </c>
      <c r="I19" s="160">
        <f>H19-G19</f>
        <v>0</v>
      </c>
      <c r="J19" s="175"/>
      <c r="K19" s="333">
        <f t="shared" si="1"/>
        <v>3258.944937760969</v>
      </c>
      <c r="L19" s="175">
        <f t="shared" si="2"/>
        <v>0</v>
      </c>
      <c r="M19" s="333">
        <f t="shared" si="3"/>
        <v>3258.944937760969</v>
      </c>
      <c r="N19" s="160">
        <f t="shared" si="4"/>
        <v>0</v>
      </c>
      <c r="O19" s="162">
        <f t="shared" si="5"/>
        <v>0</v>
      </c>
      <c r="P19" s="4"/>
    </row>
    <row r="20" spans="2:16">
      <c r="B20" s="9" t="str">
        <f t="shared" si="6"/>
        <v/>
      </c>
      <c r="C20" s="157">
        <f>IF(D11="","-",+C19+1)</f>
        <v>2013</v>
      </c>
      <c r="D20" s="361">
        <v>21884.528846153848</v>
      </c>
      <c r="E20" s="363">
        <v>424.94230769230768</v>
      </c>
      <c r="F20" s="361">
        <v>21459.586538461539</v>
      </c>
      <c r="G20" s="363">
        <v>3489.9423076923076</v>
      </c>
      <c r="H20" s="365">
        <v>3489.9423076923076</v>
      </c>
      <c r="I20" s="160">
        <v>0</v>
      </c>
      <c r="J20" s="160"/>
      <c r="K20" s="333">
        <f t="shared" si="1"/>
        <v>3489.9423076923076</v>
      </c>
      <c r="L20" s="175">
        <f t="shared" ref="L20:L25" si="7">IF(K20&lt;&gt;0,+G20-K20,0)</f>
        <v>0</v>
      </c>
      <c r="M20" s="333">
        <f t="shared" si="3"/>
        <v>3489.9423076923076</v>
      </c>
      <c r="N20" s="160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61">
        <v>21459.586538461539</v>
      </c>
      <c r="E21" s="363">
        <v>424.94230769230768</v>
      </c>
      <c r="F21" s="361">
        <v>21034.64423076923</v>
      </c>
      <c r="G21" s="363">
        <v>3320.9423076923076</v>
      </c>
      <c r="H21" s="365">
        <v>3320.9423076923076</v>
      </c>
      <c r="I21" s="160">
        <v>0</v>
      </c>
      <c r="J21" s="160"/>
      <c r="K21" s="333">
        <f t="shared" si="1"/>
        <v>3320.9423076923076</v>
      </c>
      <c r="L21" s="175">
        <f t="shared" si="7"/>
        <v>0</v>
      </c>
      <c r="M21" s="333">
        <f t="shared" si="3"/>
        <v>3320.9423076923076</v>
      </c>
      <c r="N21" s="160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61">
        <v>21034.64423076923</v>
      </c>
      <c r="E22" s="363">
        <v>424.94230769230768</v>
      </c>
      <c r="F22" s="361">
        <v>20609.701923076922</v>
      </c>
      <c r="G22" s="363">
        <v>3265.9423076923076</v>
      </c>
      <c r="H22" s="365">
        <v>3265.9423076923076</v>
      </c>
      <c r="I22" s="160">
        <v>0</v>
      </c>
      <c r="J22" s="160"/>
      <c r="K22" s="333">
        <f t="shared" si="1"/>
        <v>3265.9423076923076</v>
      </c>
      <c r="L22" s="175">
        <f t="shared" si="7"/>
        <v>0</v>
      </c>
      <c r="M22" s="333">
        <f t="shared" si="3"/>
        <v>3265.9423076923076</v>
      </c>
      <c r="N22" s="160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61">
        <v>20609.701923076922</v>
      </c>
      <c r="E23" s="363">
        <v>424.94230769230768</v>
      </c>
      <c r="F23" s="361">
        <v>20184.759615384613</v>
      </c>
      <c r="G23" s="363">
        <v>3071.9423076923076</v>
      </c>
      <c r="H23" s="365">
        <v>3071.9423076923076</v>
      </c>
      <c r="I23" s="160">
        <f t="shared" si="0"/>
        <v>0</v>
      </c>
      <c r="J23" s="160"/>
      <c r="K23" s="333">
        <f>G23</f>
        <v>3071.9423076923076</v>
      </c>
      <c r="L23" s="175">
        <f t="shared" si="7"/>
        <v>0</v>
      </c>
      <c r="M23" s="333">
        <f>H23</f>
        <v>3071.9423076923076</v>
      </c>
      <c r="N23" s="160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61">
        <v>20184.759615384613</v>
      </c>
      <c r="E24" s="363">
        <v>480.36956521739131</v>
      </c>
      <c r="F24" s="361">
        <v>19704.390050167221</v>
      </c>
      <c r="G24" s="363">
        <v>2988.3695652173915</v>
      </c>
      <c r="H24" s="365">
        <v>2988.3695652173915</v>
      </c>
      <c r="I24" s="160">
        <f t="shared" si="0"/>
        <v>0</v>
      </c>
      <c r="J24" s="160"/>
      <c r="K24" s="333">
        <f>G24</f>
        <v>2988.3695652173915</v>
      </c>
      <c r="L24" s="175">
        <f t="shared" si="7"/>
        <v>0</v>
      </c>
      <c r="M24" s="333">
        <f>H24</f>
        <v>2988.3695652173915</v>
      </c>
      <c r="N24" s="160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61">
        <v>19704.390050167221</v>
      </c>
      <c r="E25" s="363">
        <v>491.04444444444442</v>
      </c>
      <c r="F25" s="361">
        <v>19213.345605722778</v>
      </c>
      <c r="G25" s="363">
        <v>3091.0444444444443</v>
      </c>
      <c r="H25" s="365">
        <v>3091.0444444444443</v>
      </c>
      <c r="I25" s="160">
        <f t="shared" si="0"/>
        <v>0</v>
      </c>
      <c r="J25" s="160"/>
      <c r="K25" s="333">
        <f>G25</f>
        <v>3091.0444444444443</v>
      </c>
      <c r="L25" s="175">
        <f t="shared" si="7"/>
        <v>0</v>
      </c>
      <c r="M25" s="333">
        <f>H25</f>
        <v>3091.0444444444443</v>
      </c>
      <c r="N25" s="160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163">
        <f>IF(F25+SUM(E$17:E25)=D$10,F25,D$10-SUM(E$17:E25))</f>
        <v>19213.345605722778</v>
      </c>
      <c r="E26" s="164">
        <f>IF(+I14&lt;F25,I14,D26)</f>
        <v>491.04444444444442</v>
      </c>
      <c r="F26" s="163">
        <f t="shared" ref="F26:F48" si="10">+D26-E26</f>
        <v>18722.301161278334</v>
      </c>
      <c r="G26" s="165">
        <f t="shared" ref="G26:G49" si="11">ROUND(I$12*F26,0)+E26</f>
        <v>3025.0444444444443</v>
      </c>
      <c r="H26" s="147">
        <f t="shared" ref="H26:H49" si="12">ROUND(I$13*F26,0)+E26</f>
        <v>3025.0444444444443</v>
      </c>
      <c r="I26" s="160">
        <f t="shared" si="0"/>
        <v>0</v>
      </c>
      <c r="J26" s="160"/>
      <c r="K26" s="330"/>
      <c r="L26" s="162">
        <f t="shared" si="2"/>
        <v>0</v>
      </c>
      <c r="M26" s="330"/>
      <c r="N26" s="162">
        <f t="shared" si="4"/>
        <v>0</v>
      </c>
      <c r="O26" s="162">
        <f t="shared" si="5"/>
        <v>0</v>
      </c>
      <c r="P26" s="4"/>
    </row>
    <row r="27" spans="2:16">
      <c r="B27" s="9" t="str">
        <f t="shared" si="6"/>
        <v/>
      </c>
      <c r="C27" s="157">
        <f>IF(D11="","-",+C26+1)</f>
        <v>2020</v>
      </c>
      <c r="D27" s="166">
        <f>IF(F26+SUM(E$17:E26)=D$10,F26,D$10-SUM(E$17:E26))</f>
        <v>18722.301161278334</v>
      </c>
      <c r="E27" s="164">
        <f>IF(+I14&lt;F26,I14,D27)</f>
        <v>491.04444444444442</v>
      </c>
      <c r="F27" s="163">
        <f t="shared" si="10"/>
        <v>18231.25671683389</v>
      </c>
      <c r="G27" s="165">
        <f t="shared" si="11"/>
        <v>2958.0444444444443</v>
      </c>
      <c r="H27" s="147">
        <f t="shared" si="12"/>
        <v>2958.0444444444443</v>
      </c>
      <c r="I27" s="160">
        <f t="shared" si="0"/>
        <v>0</v>
      </c>
      <c r="J27" s="160"/>
      <c r="K27" s="330"/>
      <c r="L27" s="162">
        <f t="shared" si="2"/>
        <v>0</v>
      </c>
      <c r="M27" s="330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18231.25671683389</v>
      </c>
      <c r="E28" s="164">
        <f>IF(+I14&lt;F27,I14,D28)</f>
        <v>491.04444444444442</v>
      </c>
      <c r="F28" s="163">
        <f t="shared" si="10"/>
        <v>17740.212272389446</v>
      </c>
      <c r="G28" s="165">
        <f t="shared" si="11"/>
        <v>2892.0444444444443</v>
      </c>
      <c r="H28" s="147">
        <f t="shared" si="12"/>
        <v>2892.0444444444443</v>
      </c>
      <c r="I28" s="160">
        <f t="shared" si="0"/>
        <v>0</v>
      </c>
      <c r="J28" s="160"/>
      <c r="K28" s="330"/>
      <c r="L28" s="162">
        <f t="shared" si="2"/>
        <v>0</v>
      </c>
      <c r="M28" s="330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17740.212272389446</v>
      </c>
      <c r="E29" s="164">
        <f>IF(+I14&lt;F28,I14,D29)</f>
        <v>491.04444444444442</v>
      </c>
      <c r="F29" s="163">
        <f t="shared" si="10"/>
        <v>17249.167827945003</v>
      </c>
      <c r="G29" s="165">
        <f t="shared" si="11"/>
        <v>2825.0444444444443</v>
      </c>
      <c r="H29" s="147">
        <f t="shared" si="12"/>
        <v>2825.0444444444443</v>
      </c>
      <c r="I29" s="160">
        <f t="shared" si="0"/>
        <v>0</v>
      </c>
      <c r="J29" s="160"/>
      <c r="K29" s="330"/>
      <c r="L29" s="162">
        <f t="shared" si="2"/>
        <v>0</v>
      </c>
      <c r="M29" s="330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17249.167827945003</v>
      </c>
      <c r="E30" s="164">
        <f>IF(+I14&lt;F29,I14,D30)</f>
        <v>491.04444444444442</v>
      </c>
      <c r="F30" s="163">
        <f t="shared" si="10"/>
        <v>16758.123383500559</v>
      </c>
      <c r="G30" s="165">
        <f t="shared" si="11"/>
        <v>2759.0444444444443</v>
      </c>
      <c r="H30" s="147">
        <f t="shared" si="12"/>
        <v>2759.0444444444443</v>
      </c>
      <c r="I30" s="160">
        <f t="shared" si="0"/>
        <v>0</v>
      </c>
      <c r="J30" s="160"/>
      <c r="K30" s="330"/>
      <c r="L30" s="162">
        <f t="shared" si="2"/>
        <v>0</v>
      </c>
      <c r="M30" s="330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16758.123383500559</v>
      </c>
      <c r="E31" s="164">
        <f>IF(+I14&lt;F30,I14,D31)</f>
        <v>491.04444444444442</v>
      </c>
      <c r="F31" s="163">
        <f t="shared" si="10"/>
        <v>16267.078939056115</v>
      </c>
      <c r="G31" s="165">
        <f t="shared" si="11"/>
        <v>2693.0444444444443</v>
      </c>
      <c r="H31" s="147">
        <f t="shared" si="12"/>
        <v>2693.0444444444443</v>
      </c>
      <c r="I31" s="160">
        <f t="shared" si="0"/>
        <v>0</v>
      </c>
      <c r="J31" s="160"/>
      <c r="K31" s="330"/>
      <c r="L31" s="162">
        <f t="shared" si="2"/>
        <v>0</v>
      </c>
      <c r="M31" s="330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16267.078939056115</v>
      </c>
      <c r="E32" s="164">
        <f>IF(+I14&lt;F31,I14,D32)</f>
        <v>491.04444444444442</v>
      </c>
      <c r="F32" s="163">
        <f t="shared" si="10"/>
        <v>15776.034494611671</v>
      </c>
      <c r="G32" s="165">
        <f t="shared" si="11"/>
        <v>2626.0444444444443</v>
      </c>
      <c r="H32" s="147">
        <f t="shared" si="12"/>
        <v>2626.0444444444443</v>
      </c>
      <c r="I32" s="160">
        <f t="shared" si="0"/>
        <v>0</v>
      </c>
      <c r="J32" s="160"/>
      <c r="K32" s="330"/>
      <c r="L32" s="162">
        <f t="shared" si="2"/>
        <v>0</v>
      </c>
      <c r="M32" s="330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15776.034494611671</v>
      </c>
      <c r="E33" s="164">
        <f>IF(+I14&lt;F32,I14,D33)</f>
        <v>491.04444444444442</v>
      </c>
      <c r="F33" s="163">
        <f t="shared" si="10"/>
        <v>15284.990050167227</v>
      </c>
      <c r="G33" s="165">
        <f t="shared" si="11"/>
        <v>2560.0444444444443</v>
      </c>
      <c r="H33" s="147">
        <f t="shared" si="12"/>
        <v>2560.0444444444443</v>
      </c>
      <c r="I33" s="160">
        <f t="shared" si="0"/>
        <v>0</v>
      </c>
      <c r="J33" s="160"/>
      <c r="K33" s="330"/>
      <c r="L33" s="162">
        <f t="shared" si="2"/>
        <v>0</v>
      </c>
      <c r="M33" s="330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15284.990050167227</v>
      </c>
      <c r="E34" s="164">
        <f>IF(+I14&lt;F33,I14,D34)</f>
        <v>491.04444444444442</v>
      </c>
      <c r="F34" s="163">
        <f t="shared" si="10"/>
        <v>14793.945605722784</v>
      </c>
      <c r="G34" s="165">
        <f t="shared" si="11"/>
        <v>2493.0444444444443</v>
      </c>
      <c r="H34" s="147">
        <f t="shared" si="12"/>
        <v>2493.0444444444443</v>
      </c>
      <c r="I34" s="160">
        <f t="shared" si="0"/>
        <v>0</v>
      </c>
      <c r="J34" s="160"/>
      <c r="K34" s="330"/>
      <c r="L34" s="162">
        <f t="shared" si="2"/>
        <v>0</v>
      </c>
      <c r="M34" s="330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14793.945605722784</v>
      </c>
      <c r="E35" s="164">
        <f>IF(+I14&lt;F34,I14,D35)</f>
        <v>491.04444444444442</v>
      </c>
      <c r="F35" s="163">
        <f t="shared" si="10"/>
        <v>14302.90116127834</v>
      </c>
      <c r="G35" s="165">
        <f t="shared" si="11"/>
        <v>2427.0444444444443</v>
      </c>
      <c r="H35" s="147">
        <f t="shared" si="12"/>
        <v>2427.0444444444443</v>
      </c>
      <c r="I35" s="160">
        <f t="shared" si="0"/>
        <v>0</v>
      </c>
      <c r="J35" s="160"/>
      <c r="K35" s="330"/>
      <c r="L35" s="162">
        <f t="shared" si="2"/>
        <v>0</v>
      </c>
      <c r="M35" s="330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14302.90116127834</v>
      </c>
      <c r="E36" s="164">
        <f>IF(+I14&lt;F35,I14,D36)</f>
        <v>491.04444444444442</v>
      </c>
      <c r="F36" s="163">
        <f t="shared" si="10"/>
        <v>13811.856716833896</v>
      </c>
      <c r="G36" s="165">
        <f t="shared" si="11"/>
        <v>2360.0444444444443</v>
      </c>
      <c r="H36" s="147">
        <f t="shared" si="12"/>
        <v>2360.0444444444443</v>
      </c>
      <c r="I36" s="160">
        <f t="shared" si="0"/>
        <v>0</v>
      </c>
      <c r="J36" s="160"/>
      <c r="K36" s="330"/>
      <c r="L36" s="162">
        <f t="shared" si="2"/>
        <v>0</v>
      </c>
      <c r="M36" s="330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13811.856716833896</v>
      </c>
      <c r="E37" s="164">
        <f>IF(+I14&lt;F36,I14,D37)</f>
        <v>491.04444444444442</v>
      </c>
      <c r="F37" s="163">
        <f t="shared" si="10"/>
        <v>13320.812272389452</v>
      </c>
      <c r="G37" s="165">
        <f t="shared" si="11"/>
        <v>2294.0444444444443</v>
      </c>
      <c r="H37" s="147">
        <f t="shared" si="12"/>
        <v>2294.0444444444443</v>
      </c>
      <c r="I37" s="160">
        <f t="shared" si="0"/>
        <v>0</v>
      </c>
      <c r="J37" s="160"/>
      <c r="K37" s="330"/>
      <c r="L37" s="162">
        <f t="shared" si="2"/>
        <v>0</v>
      </c>
      <c r="M37" s="330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13320.812272389452</v>
      </c>
      <c r="E38" s="164">
        <f>IF(+I14&lt;F37,I14,D38)</f>
        <v>491.04444444444442</v>
      </c>
      <c r="F38" s="163">
        <f t="shared" si="10"/>
        <v>12829.767827945008</v>
      </c>
      <c r="G38" s="165">
        <f t="shared" si="11"/>
        <v>2227.0444444444443</v>
      </c>
      <c r="H38" s="147">
        <f t="shared" si="12"/>
        <v>2227.0444444444443</v>
      </c>
      <c r="I38" s="160">
        <f t="shared" si="0"/>
        <v>0</v>
      </c>
      <c r="J38" s="160"/>
      <c r="K38" s="330"/>
      <c r="L38" s="162">
        <f t="shared" si="2"/>
        <v>0</v>
      </c>
      <c r="M38" s="330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12829.767827945008</v>
      </c>
      <c r="E39" s="164">
        <f>IF(+I14&lt;F38,I14,D39)</f>
        <v>491.04444444444442</v>
      </c>
      <c r="F39" s="163">
        <f t="shared" si="10"/>
        <v>12338.723383500565</v>
      </c>
      <c r="G39" s="165">
        <f t="shared" si="11"/>
        <v>2161.0444444444443</v>
      </c>
      <c r="H39" s="147">
        <f t="shared" si="12"/>
        <v>2161.0444444444443</v>
      </c>
      <c r="I39" s="160">
        <f t="shared" si="0"/>
        <v>0</v>
      </c>
      <c r="J39" s="160"/>
      <c r="K39" s="330"/>
      <c r="L39" s="162">
        <f t="shared" si="2"/>
        <v>0</v>
      </c>
      <c r="M39" s="330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12338.723383500565</v>
      </c>
      <c r="E40" s="164">
        <f>IF(+I14&lt;F39,I14,D40)</f>
        <v>491.04444444444442</v>
      </c>
      <c r="F40" s="163">
        <f t="shared" si="10"/>
        <v>11847.678939056121</v>
      </c>
      <c r="G40" s="165">
        <f t="shared" si="11"/>
        <v>2094.0444444444443</v>
      </c>
      <c r="H40" s="147">
        <f t="shared" si="12"/>
        <v>2094.0444444444443</v>
      </c>
      <c r="I40" s="160">
        <f t="shared" si="0"/>
        <v>0</v>
      </c>
      <c r="J40" s="160"/>
      <c r="K40" s="330"/>
      <c r="L40" s="162">
        <f t="shared" si="2"/>
        <v>0</v>
      </c>
      <c r="M40" s="330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11847.678939056121</v>
      </c>
      <c r="E41" s="164">
        <f>IF(+I14&lt;F40,I14,D41)</f>
        <v>491.04444444444442</v>
      </c>
      <c r="F41" s="163">
        <f t="shared" si="10"/>
        <v>11356.634494611677</v>
      </c>
      <c r="G41" s="165">
        <f t="shared" si="11"/>
        <v>2028.0444444444445</v>
      </c>
      <c r="H41" s="147">
        <f t="shared" si="12"/>
        <v>2028.0444444444445</v>
      </c>
      <c r="I41" s="160">
        <f t="shared" si="0"/>
        <v>0</v>
      </c>
      <c r="J41" s="160"/>
      <c r="K41" s="330"/>
      <c r="L41" s="162">
        <f t="shared" si="2"/>
        <v>0</v>
      </c>
      <c r="M41" s="330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11356.634494611677</v>
      </c>
      <c r="E42" s="164">
        <f>IF(+I14&lt;F41,I14,D42)</f>
        <v>491.04444444444442</v>
      </c>
      <c r="F42" s="163">
        <f t="shared" si="10"/>
        <v>10865.590050167233</v>
      </c>
      <c r="G42" s="165">
        <f t="shared" si="11"/>
        <v>1961.0444444444445</v>
      </c>
      <c r="H42" s="147">
        <f t="shared" si="12"/>
        <v>1961.0444444444445</v>
      </c>
      <c r="I42" s="160">
        <f t="shared" si="0"/>
        <v>0</v>
      </c>
      <c r="J42" s="160"/>
      <c r="K42" s="330"/>
      <c r="L42" s="162">
        <f t="shared" si="2"/>
        <v>0</v>
      </c>
      <c r="M42" s="330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10865.590050167233</v>
      </c>
      <c r="E43" s="164">
        <f>IF(+I14&lt;F42,I14,D43)</f>
        <v>491.04444444444442</v>
      </c>
      <c r="F43" s="163">
        <f t="shared" si="10"/>
        <v>10374.545605722789</v>
      </c>
      <c r="G43" s="165">
        <f t="shared" si="11"/>
        <v>1895.0444444444445</v>
      </c>
      <c r="H43" s="147">
        <f t="shared" si="12"/>
        <v>1895.0444444444445</v>
      </c>
      <c r="I43" s="160">
        <f t="shared" si="0"/>
        <v>0</v>
      </c>
      <c r="J43" s="160"/>
      <c r="K43" s="330"/>
      <c r="L43" s="162">
        <f t="shared" si="2"/>
        <v>0</v>
      </c>
      <c r="M43" s="330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10374.545605722789</v>
      </c>
      <c r="E44" s="164">
        <f>IF(+I14&lt;F43,I14,D44)</f>
        <v>491.04444444444442</v>
      </c>
      <c r="F44" s="163">
        <f t="shared" si="10"/>
        <v>9883.5011612783455</v>
      </c>
      <c r="G44" s="165">
        <f t="shared" si="11"/>
        <v>1829.0444444444445</v>
      </c>
      <c r="H44" s="147">
        <f t="shared" si="12"/>
        <v>1829.0444444444445</v>
      </c>
      <c r="I44" s="160">
        <f t="shared" si="0"/>
        <v>0</v>
      </c>
      <c r="J44" s="160"/>
      <c r="K44" s="330"/>
      <c r="L44" s="162">
        <f t="shared" si="2"/>
        <v>0</v>
      </c>
      <c r="M44" s="330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9883.5011612783455</v>
      </c>
      <c r="E45" s="164">
        <f>IF(+I14&lt;F44,I14,D45)</f>
        <v>491.04444444444442</v>
      </c>
      <c r="F45" s="163">
        <f t="shared" si="10"/>
        <v>9392.4567168339017</v>
      </c>
      <c r="G45" s="165">
        <f t="shared" si="11"/>
        <v>1762.0444444444445</v>
      </c>
      <c r="H45" s="147">
        <f t="shared" si="12"/>
        <v>1762.0444444444445</v>
      </c>
      <c r="I45" s="160">
        <f t="shared" si="0"/>
        <v>0</v>
      </c>
      <c r="J45" s="160"/>
      <c r="K45" s="330"/>
      <c r="L45" s="162">
        <f t="shared" si="2"/>
        <v>0</v>
      </c>
      <c r="M45" s="330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9392.4567168339017</v>
      </c>
      <c r="E46" s="164">
        <f>IF(+I14&lt;F45,I14,D46)</f>
        <v>491.04444444444442</v>
      </c>
      <c r="F46" s="163">
        <f t="shared" si="10"/>
        <v>8901.4122723894579</v>
      </c>
      <c r="G46" s="165">
        <f t="shared" si="11"/>
        <v>1696.0444444444445</v>
      </c>
      <c r="H46" s="147">
        <f t="shared" si="12"/>
        <v>1696.0444444444445</v>
      </c>
      <c r="I46" s="160">
        <f t="shared" si="0"/>
        <v>0</v>
      </c>
      <c r="J46" s="160"/>
      <c r="K46" s="330"/>
      <c r="L46" s="162">
        <f t="shared" si="2"/>
        <v>0</v>
      </c>
      <c r="M46" s="330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8901.4122723894579</v>
      </c>
      <c r="E47" s="164">
        <f>IF(+I14&lt;F46,I14,D47)</f>
        <v>491.04444444444442</v>
      </c>
      <c r="F47" s="163">
        <f t="shared" si="10"/>
        <v>8410.3678279450141</v>
      </c>
      <c r="G47" s="165">
        <f t="shared" si="11"/>
        <v>1629.0444444444445</v>
      </c>
      <c r="H47" s="147">
        <f t="shared" si="12"/>
        <v>1629.0444444444445</v>
      </c>
      <c r="I47" s="160">
        <f t="shared" si="0"/>
        <v>0</v>
      </c>
      <c r="J47" s="160"/>
      <c r="K47" s="330"/>
      <c r="L47" s="162">
        <f t="shared" si="2"/>
        <v>0</v>
      </c>
      <c r="M47" s="330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8410.3678279450141</v>
      </c>
      <c r="E48" s="164">
        <f>IF(+I14&lt;F47,I14,D48)</f>
        <v>491.04444444444442</v>
      </c>
      <c r="F48" s="163">
        <f t="shared" si="10"/>
        <v>7919.3233835005694</v>
      </c>
      <c r="G48" s="165">
        <f t="shared" si="11"/>
        <v>1563.0444444444445</v>
      </c>
      <c r="H48" s="147">
        <f t="shared" si="12"/>
        <v>1563.0444444444445</v>
      </c>
      <c r="I48" s="160">
        <f t="shared" si="0"/>
        <v>0</v>
      </c>
      <c r="J48" s="160"/>
      <c r="K48" s="330"/>
      <c r="L48" s="162">
        <f t="shared" si="2"/>
        <v>0</v>
      </c>
      <c r="M48" s="330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7919.3233835005694</v>
      </c>
      <c r="E49" s="164">
        <f>IF(+I14&lt;F48,I14,D49)</f>
        <v>491.04444444444442</v>
      </c>
      <c r="F49" s="163">
        <f t="shared" ref="F49:F72" si="13">+D49-E49</f>
        <v>7428.2789390561247</v>
      </c>
      <c r="G49" s="165">
        <f t="shared" si="11"/>
        <v>1496.0444444444445</v>
      </c>
      <c r="H49" s="147">
        <f t="shared" si="12"/>
        <v>1496.0444444444445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ref="B50:B72" si="18">IF(D50=F49,"","IU")</f>
        <v/>
      </c>
      <c r="C50" s="157">
        <f>IF(D11="","-",+C49+1)</f>
        <v>2043</v>
      </c>
      <c r="D50" s="163">
        <f>IF(F49+SUM(E$17:E49)=D$10,F49,D$10-SUM(E$17:E49))</f>
        <v>7428.2789390561247</v>
      </c>
      <c r="E50" s="164">
        <f>IF(+I14&lt;F49,I14,D50)</f>
        <v>491.04444444444442</v>
      </c>
      <c r="F50" s="163">
        <f t="shared" si="13"/>
        <v>6937.23449461168</v>
      </c>
      <c r="G50" s="165">
        <f t="shared" ref="G50:G72" si="19">ROUND(I$12*F50,0)+E50</f>
        <v>1430.0444444444445</v>
      </c>
      <c r="H50" s="147">
        <f t="shared" ref="H50:H72" si="20">ROUND(I$13*F50,0)+E50</f>
        <v>1430.0444444444445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18"/>
        <v/>
      </c>
      <c r="C51" s="157">
        <f>IF(D11="","-",+C50+1)</f>
        <v>2044</v>
      </c>
      <c r="D51" s="163">
        <f>IF(F50+SUM(E$17:E50)=D$10,F50,D$10-SUM(E$17:E50))</f>
        <v>6937.23449461168</v>
      </c>
      <c r="E51" s="164">
        <f>IF(+I14&lt;F50,I14,D51)</f>
        <v>491.04444444444442</v>
      </c>
      <c r="F51" s="163">
        <f t="shared" si="13"/>
        <v>6446.1900501672353</v>
      </c>
      <c r="G51" s="165">
        <f t="shared" si="19"/>
        <v>1363.0444444444445</v>
      </c>
      <c r="H51" s="147">
        <f t="shared" si="20"/>
        <v>1363.0444444444445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18"/>
        <v/>
      </c>
      <c r="C52" s="157">
        <f>IF(D11="","-",+C51+1)</f>
        <v>2045</v>
      </c>
      <c r="D52" s="163">
        <f>IF(F51+SUM(E$17:E51)=D$10,F51,D$10-SUM(E$17:E51))</f>
        <v>6446.1900501672353</v>
      </c>
      <c r="E52" s="164">
        <f>IF(+I14&lt;F51,I14,D52)</f>
        <v>491.04444444444442</v>
      </c>
      <c r="F52" s="163">
        <f t="shared" si="13"/>
        <v>5955.1456057227906</v>
      </c>
      <c r="G52" s="165">
        <f t="shared" si="19"/>
        <v>1297.0444444444445</v>
      </c>
      <c r="H52" s="147">
        <f t="shared" si="20"/>
        <v>1297.0444444444445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18"/>
        <v/>
      </c>
      <c r="C53" s="157">
        <f>IF(D11="","-",+C52+1)</f>
        <v>2046</v>
      </c>
      <c r="D53" s="163">
        <f>IF(F52+SUM(E$17:E52)=D$10,F52,D$10-SUM(E$17:E52))</f>
        <v>5955.1456057227906</v>
      </c>
      <c r="E53" s="164">
        <f>IF(+I14&lt;F52,I14,D53)</f>
        <v>491.04444444444442</v>
      </c>
      <c r="F53" s="163">
        <f t="shared" si="13"/>
        <v>5464.1011612783459</v>
      </c>
      <c r="G53" s="165">
        <f t="shared" si="19"/>
        <v>1230.0444444444445</v>
      </c>
      <c r="H53" s="147">
        <f t="shared" si="20"/>
        <v>1230.0444444444445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18"/>
        <v/>
      </c>
      <c r="C54" s="157">
        <f>IF(D11="","-",+C53+1)</f>
        <v>2047</v>
      </c>
      <c r="D54" s="163">
        <f>IF(F53+SUM(E$17:E53)=D$10,F53,D$10-SUM(E$17:E53))</f>
        <v>5464.1011612783459</v>
      </c>
      <c r="E54" s="164">
        <f>IF(+I14&lt;F53,I14,D54)</f>
        <v>491.04444444444442</v>
      </c>
      <c r="F54" s="163">
        <f t="shared" si="13"/>
        <v>4973.0567168339012</v>
      </c>
      <c r="G54" s="165">
        <f t="shared" si="19"/>
        <v>1164.0444444444445</v>
      </c>
      <c r="H54" s="147">
        <f t="shared" si="20"/>
        <v>1164.0444444444445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18"/>
        <v/>
      </c>
      <c r="C55" s="157">
        <f>IF(D11="","-",+C54+1)</f>
        <v>2048</v>
      </c>
      <c r="D55" s="163">
        <f>IF(F54+SUM(E$17:E54)=D$10,F54,D$10-SUM(E$17:E54))</f>
        <v>4973.0567168339012</v>
      </c>
      <c r="E55" s="164">
        <f>IF(+I14&lt;F54,I14,D55)</f>
        <v>491.04444444444442</v>
      </c>
      <c r="F55" s="163">
        <f t="shared" si="13"/>
        <v>4482.0122723894565</v>
      </c>
      <c r="G55" s="165">
        <f t="shared" si="19"/>
        <v>1098.0444444444445</v>
      </c>
      <c r="H55" s="147">
        <f t="shared" si="20"/>
        <v>1098.0444444444445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18"/>
        <v/>
      </c>
      <c r="C56" s="157">
        <f>IF(D11="","-",+C55+1)</f>
        <v>2049</v>
      </c>
      <c r="D56" s="163">
        <f>IF(F55+SUM(E$17:E55)=D$10,F55,D$10-SUM(E$17:E55))</f>
        <v>4482.0122723894565</v>
      </c>
      <c r="E56" s="164">
        <f>IF(+I14&lt;F55,I14,D56)</f>
        <v>491.04444444444442</v>
      </c>
      <c r="F56" s="163">
        <f t="shared" si="13"/>
        <v>3990.9678279450122</v>
      </c>
      <c r="G56" s="165">
        <f t="shared" si="19"/>
        <v>1031.0444444444445</v>
      </c>
      <c r="H56" s="147">
        <f t="shared" si="20"/>
        <v>1031.0444444444445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18"/>
        <v/>
      </c>
      <c r="C57" s="157">
        <f>IF(D11="","-",+C56+1)</f>
        <v>2050</v>
      </c>
      <c r="D57" s="163">
        <f>IF(F56+SUM(E$17:E56)=D$10,F56,D$10-SUM(E$17:E56))</f>
        <v>3990.9678279450122</v>
      </c>
      <c r="E57" s="164">
        <f>IF(+I14&lt;F56,I14,D57)</f>
        <v>491.04444444444442</v>
      </c>
      <c r="F57" s="163">
        <f t="shared" si="13"/>
        <v>3499.923383500568</v>
      </c>
      <c r="G57" s="165">
        <f t="shared" si="19"/>
        <v>965.04444444444448</v>
      </c>
      <c r="H57" s="147">
        <f t="shared" si="20"/>
        <v>965.04444444444448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18"/>
        <v/>
      </c>
      <c r="C58" s="157">
        <f>IF(D11="","-",+C57+1)</f>
        <v>2051</v>
      </c>
      <c r="D58" s="163">
        <f>IF(F57+SUM(E$17:E57)=D$10,F57,D$10-SUM(E$17:E57))</f>
        <v>3499.923383500568</v>
      </c>
      <c r="E58" s="164">
        <f>IF(+I14&lt;F57,I14,D58)</f>
        <v>491.04444444444442</v>
      </c>
      <c r="F58" s="163">
        <f t="shared" si="13"/>
        <v>3008.8789390561237</v>
      </c>
      <c r="G58" s="165">
        <f t="shared" si="19"/>
        <v>898.04444444444448</v>
      </c>
      <c r="H58" s="147">
        <f t="shared" si="20"/>
        <v>898.04444444444448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18"/>
        <v/>
      </c>
      <c r="C59" s="157">
        <f>IF(D11="","-",+C58+1)</f>
        <v>2052</v>
      </c>
      <c r="D59" s="163">
        <f>IF(F58+SUM(E$17:E58)=D$10,F58,D$10-SUM(E$17:E58))</f>
        <v>3008.8789390561237</v>
      </c>
      <c r="E59" s="164">
        <f>IF(+I14&lt;F58,I14,D59)</f>
        <v>491.04444444444442</v>
      </c>
      <c r="F59" s="163">
        <f t="shared" si="13"/>
        <v>2517.8344946116795</v>
      </c>
      <c r="G59" s="165">
        <f t="shared" si="19"/>
        <v>832.04444444444448</v>
      </c>
      <c r="H59" s="147">
        <f t="shared" si="20"/>
        <v>832.04444444444448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18"/>
        <v/>
      </c>
      <c r="C60" s="157">
        <f>IF(D11="","-",+C59+1)</f>
        <v>2053</v>
      </c>
      <c r="D60" s="163">
        <f>IF(F59+SUM(E$17:E59)=D$10,F59,D$10-SUM(E$17:E59))</f>
        <v>2517.8344946116795</v>
      </c>
      <c r="E60" s="164">
        <f>IF(+I14&lt;F59,I14,D60)</f>
        <v>491.04444444444442</v>
      </c>
      <c r="F60" s="163">
        <f t="shared" si="13"/>
        <v>2026.790050167235</v>
      </c>
      <c r="G60" s="165">
        <f t="shared" si="19"/>
        <v>765.04444444444448</v>
      </c>
      <c r="H60" s="147">
        <f t="shared" si="20"/>
        <v>765.04444444444448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18"/>
        <v/>
      </c>
      <c r="C61" s="157">
        <f>IF(D11="","-",+C60+1)</f>
        <v>2054</v>
      </c>
      <c r="D61" s="163">
        <f>IF(F60+SUM(E$17:E60)=D$10,F60,D$10-SUM(E$17:E60))</f>
        <v>2026.790050167235</v>
      </c>
      <c r="E61" s="164">
        <f>IF(+I14&lt;F60,I14,D61)</f>
        <v>491.04444444444442</v>
      </c>
      <c r="F61" s="163">
        <f t="shared" si="13"/>
        <v>1535.7456057227905</v>
      </c>
      <c r="G61" s="167">
        <f t="shared" si="19"/>
        <v>699.04444444444448</v>
      </c>
      <c r="H61" s="147">
        <f t="shared" si="20"/>
        <v>699.04444444444448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18"/>
        <v/>
      </c>
      <c r="C62" s="157">
        <f>IF(D11="","-",+C61+1)</f>
        <v>2055</v>
      </c>
      <c r="D62" s="163">
        <f>IF(F61+SUM(E$17:E61)=D$10,F61,D$10-SUM(E$17:E61))</f>
        <v>1535.7456057227905</v>
      </c>
      <c r="E62" s="164">
        <f>IF(+I14&lt;F61,I14,D62)</f>
        <v>491.04444444444442</v>
      </c>
      <c r="F62" s="163">
        <f t="shared" si="13"/>
        <v>1044.701161278346</v>
      </c>
      <c r="G62" s="167">
        <f t="shared" si="19"/>
        <v>632.04444444444448</v>
      </c>
      <c r="H62" s="147">
        <f t="shared" si="20"/>
        <v>632.04444444444448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18"/>
        <v/>
      </c>
      <c r="C63" s="157">
        <f>IF(D11="","-",+C62+1)</f>
        <v>2056</v>
      </c>
      <c r="D63" s="163">
        <f>IF(F62+SUM(E$17:E62)=D$10,F62,D$10-SUM(E$17:E62))</f>
        <v>1044.701161278346</v>
      </c>
      <c r="E63" s="164">
        <f>IF(+I14&lt;F62,I14,D63)</f>
        <v>491.04444444444442</v>
      </c>
      <c r="F63" s="163">
        <f t="shared" si="13"/>
        <v>553.65671683390156</v>
      </c>
      <c r="G63" s="167">
        <f t="shared" si="19"/>
        <v>566.04444444444448</v>
      </c>
      <c r="H63" s="147">
        <f t="shared" si="20"/>
        <v>566.04444444444448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18"/>
        <v/>
      </c>
      <c r="C64" s="157">
        <f>IF(D11="","-",+C63+1)</f>
        <v>2057</v>
      </c>
      <c r="D64" s="163">
        <f>IF(F63+SUM(E$17:E63)=D$10,F63,D$10-SUM(E$17:E63))</f>
        <v>553.65671683390156</v>
      </c>
      <c r="E64" s="164">
        <f>IF(+I14&lt;F63,I14,D64)</f>
        <v>491.04444444444442</v>
      </c>
      <c r="F64" s="163">
        <f t="shared" si="13"/>
        <v>62.612272389457132</v>
      </c>
      <c r="G64" s="167">
        <f t="shared" si="19"/>
        <v>499.04444444444442</v>
      </c>
      <c r="H64" s="147">
        <f t="shared" si="20"/>
        <v>499.04444444444442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18"/>
        <v/>
      </c>
      <c r="C65" s="157">
        <f>IF(D11="","-",+C64+1)</f>
        <v>2058</v>
      </c>
      <c r="D65" s="163">
        <f>IF(F64+SUM(E$17:E64)=D$10,F64,D$10-SUM(E$17:E64))</f>
        <v>62.612272389457132</v>
      </c>
      <c r="E65" s="164">
        <f>IF(+I14&lt;F64,I14,D65)</f>
        <v>62.612272389457132</v>
      </c>
      <c r="F65" s="163">
        <f t="shared" si="13"/>
        <v>0</v>
      </c>
      <c r="G65" s="167">
        <f t="shared" si="19"/>
        <v>62.612272389457132</v>
      </c>
      <c r="H65" s="147">
        <f t="shared" si="20"/>
        <v>62.612272389457132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18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9"/>
        <v>0</v>
      </c>
      <c r="H66" s="147">
        <f t="shared" si="20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18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9"/>
        <v>0</v>
      </c>
      <c r="H67" s="147">
        <f t="shared" si="20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18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9"/>
        <v>0</v>
      </c>
      <c r="H68" s="147">
        <f t="shared" si="20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18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9"/>
        <v>0</v>
      </c>
      <c r="H69" s="147">
        <f t="shared" si="20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18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9"/>
        <v>0</v>
      </c>
      <c r="H70" s="147">
        <f t="shared" si="20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18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9"/>
        <v>0</v>
      </c>
      <c r="H71" s="147">
        <f t="shared" si="20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18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9"/>
        <v>0</v>
      </c>
      <c r="H72" s="130">
        <f t="shared" si="20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22096.999999999996</v>
      </c>
      <c r="F73" s="115"/>
      <c r="G73" s="115">
        <f>SUM(G17:G72)</f>
        <v>91273.4737839148</v>
      </c>
      <c r="H73" s="115">
        <f>SUM(H17:H72)</f>
        <v>91273.4737839148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13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3091.0444444444443</v>
      </c>
      <c r="N87" s="202">
        <f>IF(J92&lt;D11,0,VLOOKUP(J92,C17:O72,11))</f>
        <v>3091.0444444444443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2506.299479691007</v>
      </c>
      <c r="N88" s="204">
        <f>IF(J92&lt;D11,0,VLOOKUP(J92,C99:P154,7))</f>
        <v>2506.299479691007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CoffeyvilleT to Dearing 138 kv Rebuild - 1.1 mi*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-584.74496475343722</v>
      </c>
      <c r="N89" s="207">
        <f>+N88-N87</f>
        <v>-584.74496475343722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TP2008013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22097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2010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514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389">
        <f>D93</f>
        <v>2010</v>
      </c>
      <c r="D99" s="390">
        <v>0</v>
      </c>
      <c r="E99" s="392">
        <v>0</v>
      </c>
      <c r="F99" s="392">
        <v>0</v>
      </c>
      <c r="G99" s="392">
        <v>0</v>
      </c>
      <c r="H99" s="393">
        <v>0</v>
      </c>
      <c r="I99" s="392">
        <v>0</v>
      </c>
      <c r="J99" s="394">
        <v>0</v>
      </c>
      <c r="K99" s="162"/>
      <c r="L99" s="379">
        <f t="shared" ref="L99:L104" si="21">H99</f>
        <v>0</v>
      </c>
      <c r="M99" s="380">
        <f t="shared" ref="M99:M104" si="22">IF(L99&lt;&gt;0,+H99-L99,0)</f>
        <v>0</v>
      </c>
      <c r="N99" s="379">
        <f t="shared" ref="N99:N104" si="23">I99</f>
        <v>0</v>
      </c>
      <c r="O99" s="161">
        <f t="shared" ref="O99:O104" si="24">IF(N99&lt;&gt;0,+I99-N99,0)</f>
        <v>0</v>
      </c>
      <c r="P99" s="161">
        <f t="shared" ref="P99:P104" si="25">+O99-M99</f>
        <v>0</v>
      </c>
    </row>
    <row r="100" spans="1:16">
      <c r="C100" s="157">
        <f>IF(D91="","-",+C99+1)</f>
        <v>2011</v>
      </c>
      <c r="D100" s="391">
        <v>0</v>
      </c>
      <c r="E100" s="395">
        <v>0</v>
      </c>
      <c r="F100" s="395">
        <v>0</v>
      </c>
      <c r="G100" s="395">
        <v>0</v>
      </c>
      <c r="H100" s="396">
        <v>0</v>
      </c>
      <c r="I100" s="395">
        <v>0</v>
      </c>
      <c r="J100" s="397">
        <v>0</v>
      </c>
      <c r="K100" s="162"/>
      <c r="L100" s="375">
        <f t="shared" si="21"/>
        <v>0</v>
      </c>
      <c r="M100" s="376">
        <f t="shared" si="22"/>
        <v>0</v>
      </c>
      <c r="N100" s="375">
        <f t="shared" si="23"/>
        <v>0</v>
      </c>
      <c r="O100" s="162">
        <f t="shared" si="24"/>
        <v>0</v>
      </c>
      <c r="P100" s="162">
        <f t="shared" si="25"/>
        <v>0</v>
      </c>
    </row>
    <row r="101" spans="1:16">
      <c r="C101" s="157">
        <f>IF(D92="","-",+C100+1)</f>
        <v>2012</v>
      </c>
      <c r="D101" s="399">
        <v>22097</v>
      </c>
      <c r="E101" s="400">
        <v>212.5</v>
      </c>
      <c r="F101" s="401">
        <v>21884.5</v>
      </c>
      <c r="G101" s="401">
        <v>21990.75</v>
      </c>
      <c r="H101" s="402">
        <v>3375.9899363381005</v>
      </c>
      <c r="I101" s="403">
        <v>3375.9899363381005</v>
      </c>
      <c r="J101" s="162">
        <v>0</v>
      </c>
      <c r="K101" s="162"/>
      <c r="L101" s="375">
        <f t="shared" si="21"/>
        <v>3375.9899363381005</v>
      </c>
      <c r="M101" s="376">
        <f t="shared" si="22"/>
        <v>0</v>
      </c>
      <c r="N101" s="375">
        <f t="shared" si="23"/>
        <v>3375.9899363381005</v>
      </c>
      <c r="O101" s="162">
        <f t="shared" si="24"/>
        <v>0</v>
      </c>
      <c r="P101" s="162">
        <f t="shared" si="25"/>
        <v>0</v>
      </c>
    </row>
    <row r="102" spans="1:16">
      <c r="B102" s="9" t="str">
        <f t="shared" ref="B102:B133" si="26">IF(D102=F101,"","IU")</f>
        <v/>
      </c>
      <c r="C102" s="157">
        <f>IF(D93="","-",+C101+1)</f>
        <v>2013</v>
      </c>
      <c r="D102" s="399">
        <v>21884.5</v>
      </c>
      <c r="E102" s="400">
        <v>425</v>
      </c>
      <c r="F102" s="401">
        <v>21459.5</v>
      </c>
      <c r="G102" s="401">
        <v>21672</v>
      </c>
      <c r="H102" s="402">
        <v>3544.458879858515</v>
      </c>
      <c r="I102" s="403">
        <v>3544.458879858515</v>
      </c>
      <c r="J102" s="162">
        <v>0</v>
      </c>
      <c r="K102" s="162"/>
      <c r="L102" s="375">
        <f t="shared" si="21"/>
        <v>3544.458879858515</v>
      </c>
      <c r="M102" s="376">
        <f t="shared" si="22"/>
        <v>0</v>
      </c>
      <c r="N102" s="375">
        <f t="shared" si="23"/>
        <v>3544.458879858515</v>
      </c>
      <c r="O102" s="162">
        <f t="shared" si="24"/>
        <v>0</v>
      </c>
      <c r="P102" s="162">
        <f t="shared" si="25"/>
        <v>0</v>
      </c>
    </row>
    <row r="103" spans="1:16">
      <c r="B103" s="9" t="str">
        <f t="shared" si="26"/>
        <v/>
      </c>
      <c r="C103" s="157">
        <f>IF(D93="","-",+C102+1)</f>
        <v>2014</v>
      </c>
      <c r="D103" s="399">
        <v>21459.5</v>
      </c>
      <c r="E103" s="400">
        <v>425</v>
      </c>
      <c r="F103" s="401">
        <v>21034.5</v>
      </c>
      <c r="G103" s="401">
        <v>21247</v>
      </c>
      <c r="H103" s="402">
        <v>3412.2413474199548</v>
      </c>
      <c r="I103" s="403">
        <v>3412.2413474199548</v>
      </c>
      <c r="J103" s="162">
        <v>0</v>
      </c>
      <c r="K103" s="162"/>
      <c r="L103" s="375">
        <f t="shared" si="21"/>
        <v>3412.2413474199548</v>
      </c>
      <c r="M103" s="376">
        <f t="shared" si="22"/>
        <v>0</v>
      </c>
      <c r="N103" s="375">
        <f t="shared" si="23"/>
        <v>3412.2413474199548</v>
      </c>
      <c r="O103" s="162">
        <f t="shared" si="24"/>
        <v>0</v>
      </c>
      <c r="P103" s="162">
        <f t="shared" si="25"/>
        <v>0</v>
      </c>
    </row>
    <row r="104" spans="1:16">
      <c r="B104" s="9" t="str">
        <f t="shared" si="26"/>
        <v/>
      </c>
      <c r="C104" s="157">
        <f>IF(D93="","-",+C103+1)</f>
        <v>2015</v>
      </c>
      <c r="D104" s="399">
        <v>21034.5</v>
      </c>
      <c r="E104" s="400">
        <v>425</v>
      </c>
      <c r="F104" s="401">
        <v>20609.5</v>
      </c>
      <c r="G104" s="401">
        <v>20822</v>
      </c>
      <c r="H104" s="402">
        <v>3265.9944828697971</v>
      </c>
      <c r="I104" s="403">
        <v>3265.9944828697971</v>
      </c>
      <c r="J104" s="162">
        <f t="shared" ref="J104:J132" si="27">+I104-H104</f>
        <v>0</v>
      </c>
      <c r="K104" s="162"/>
      <c r="L104" s="375">
        <f t="shared" si="21"/>
        <v>3265.9944828697971</v>
      </c>
      <c r="M104" s="376">
        <f t="shared" si="22"/>
        <v>0</v>
      </c>
      <c r="N104" s="375">
        <f t="shared" si="23"/>
        <v>3265.9944828697971</v>
      </c>
      <c r="O104" s="162">
        <f t="shared" si="24"/>
        <v>0</v>
      </c>
      <c r="P104" s="162">
        <f t="shared" si="25"/>
        <v>0</v>
      </c>
    </row>
    <row r="105" spans="1:16">
      <c r="B105" s="9" t="str">
        <f t="shared" si="26"/>
        <v/>
      </c>
      <c r="C105" s="157">
        <f>IF(D93="","-",+C104+1)</f>
        <v>2016</v>
      </c>
      <c r="D105" s="399">
        <v>20609.5</v>
      </c>
      <c r="E105" s="400">
        <v>480</v>
      </c>
      <c r="F105" s="401">
        <v>20129.5</v>
      </c>
      <c r="G105" s="401">
        <v>20369.5</v>
      </c>
      <c r="H105" s="402">
        <v>3105.9493466960757</v>
      </c>
      <c r="I105" s="403">
        <v>3105.9493466960757</v>
      </c>
      <c r="J105" s="162">
        <f t="shared" si="27"/>
        <v>0</v>
      </c>
      <c r="K105" s="162"/>
      <c r="L105" s="375">
        <f>H105</f>
        <v>3105.9493466960757</v>
      </c>
      <c r="M105" s="376">
        <f>IF(L105&lt;&gt;0,+H105-L105,0)</f>
        <v>0</v>
      </c>
      <c r="N105" s="375">
        <f>I105</f>
        <v>3105.9493466960757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6"/>
        <v/>
      </c>
      <c r="C106" s="157">
        <f>IF(D93="","-",+C105+1)</f>
        <v>2017</v>
      </c>
      <c r="D106" s="399">
        <v>20129.5</v>
      </c>
      <c r="E106" s="400">
        <v>480</v>
      </c>
      <c r="F106" s="401">
        <v>19649.5</v>
      </c>
      <c r="G106" s="401">
        <v>19889.5</v>
      </c>
      <c r="H106" s="402">
        <v>3003.0332263920673</v>
      </c>
      <c r="I106" s="403">
        <v>3003.0332263920673</v>
      </c>
      <c r="J106" s="162">
        <f t="shared" si="27"/>
        <v>0</v>
      </c>
      <c r="K106" s="162"/>
      <c r="L106" s="375">
        <f>H106</f>
        <v>3003.0332263920673</v>
      </c>
      <c r="M106" s="376">
        <f>IF(L106&lt;&gt;0,+H106-L106,0)</f>
        <v>0</v>
      </c>
      <c r="N106" s="375">
        <f>I106</f>
        <v>3003.0332263920673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6"/>
        <v/>
      </c>
      <c r="C107" s="157">
        <f>IF(D93="","-",+C106+1)</f>
        <v>2018</v>
      </c>
      <c r="D107" s="158">
        <f>IF(F106+SUM(E$101:E106)=D$92,F106,D$92-SUM(E$101:E106))</f>
        <v>19649.5</v>
      </c>
      <c r="E107" s="164">
        <f>IF(+J96&lt;F106,J96,D107)</f>
        <v>514</v>
      </c>
      <c r="F107" s="163">
        <f t="shared" ref="F107:F133" si="28">+D107-E107</f>
        <v>19135.5</v>
      </c>
      <c r="G107" s="163">
        <f t="shared" ref="G107:G132" si="29">+(F107+D107)/2</f>
        <v>19392.5</v>
      </c>
      <c r="H107" s="167">
        <f t="shared" ref="H107:H132" si="30">+J$94*G107+E107</f>
        <v>2506.299479691007</v>
      </c>
      <c r="I107" s="312">
        <f t="shared" ref="I107:I132" si="31">+J$95*G107+E107</f>
        <v>2506.299479691007</v>
      </c>
      <c r="J107" s="162">
        <f t="shared" si="27"/>
        <v>0</v>
      </c>
      <c r="K107" s="162"/>
      <c r="L107" s="330"/>
      <c r="M107" s="162">
        <f t="shared" ref="M107:M130" si="32">IF(L107&lt;&gt;0,+H109-L107,0)</f>
        <v>0</v>
      </c>
      <c r="N107" s="330"/>
      <c r="O107" s="162">
        <f t="shared" ref="O107:O130" si="33">IF(N107&lt;&gt;0,+I109-N107,0)</f>
        <v>0</v>
      </c>
      <c r="P107" s="162">
        <f t="shared" ref="P107:P130" si="34">+O107-M107</f>
        <v>0</v>
      </c>
    </row>
    <row r="108" spans="1:16">
      <c r="B108" s="9" t="str">
        <f t="shared" si="26"/>
        <v/>
      </c>
      <c r="C108" s="157">
        <f>IF(D93="","-",+C107+1)</f>
        <v>2019</v>
      </c>
      <c r="D108" s="158">
        <f>IF(F107+SUM(E$101:E107)=D$92,F107,D$92-SUM(E$101:E107))</f>
        <v>19135.5</v>
      </c>
      <c r="E108" s="164">
        <f>IF(+J96&lt;F107,J96,D108)</f>
        <v>514</v>
      </c>
      <c r="F108" s="163">
        <f t="shared" si="28"/>
        <v>18621.5</v>
      </c>
      <c r="G108" s="163">
        <f t="shared" si="29"/>
        <v>18878.5</v>
      </c>
      <c r="H108" s="167">
        <f t="shared" si="30"/>
        <v>2453.493398341971</v>
      </c>
      <c r="I108" s="312">
        <f t="shared" si="31"/>
        <v>2453.493398341971</v>
      </c>
      <c r="J108" s="162">
        <f t="shared" si="27"/>
        <v>0</v>
      </c>
      <c r="K108" s="162"/>
      <c r="L108" s="330"/>
      <c r="M108" s="162">
        <f t="shared" si="32"/>
        <v>0</v>
      </c>
      <c r="N108" s="330"/>
      <c r="O108" s="162">
        <f t="shared" si="33"/>
        <v>0</v>
      </c>
      <c r="P108" s="162">
        <f t="shared" si="34"/>
        <v>0</v>
      </c>
    </row>
    <row r="109" spans="1:16">
      <c r="B109" s="9" t="str">
        <f t="shared" si="26"/>
        <v/>
      </c>
      <c r="C109" s="157">
        <f>IF(D93="","-",+C108+1)</f>
        <v>2020</v>
      </c>
      <c r="D109" s="158">
        <f>IF(F108+SUM(E$101:E108)=D$92,F108,D$92-SUM(E$101:E108))</f>
        <v>18621.5</v>
      </c>
      <c r="E109" s="165">
        <f>IF(+J96&lt;F108,J96,D109)</f>
        <v>514</v>
      </c>
      <c r="F109" s="163">
        <f t="shared" si="28"/>
        <v>18107.5</v>
      </c>
      <c r="G109" s="163">
        <f t="shared" si="29"/>
        <v>18364.5</v>
      </c>
      <c r="H109" s="167">
        <f t="shared" si="30"/>
        <v>2400.6873169929349</v>
      </c>
      <c r="I109" s="312">
        <f t="shared" si="31"/>
        <v>2400.6873169929349</v>
      </c>
      <c r="J109" s="162">
        <f t="shared" si="27"/>
        <v>0</v>
      </c>
      <c r="K109" s="162"/>
      <c r="L109" s="330"/>
      <c r="M109" s="162">
        <f t="shared" si="32"/>
        <v>0</v>
      </c>
      <c r="N109" s="330"/>
      <c r="O109" s="162">
        <f t="shared" si="33"/>
        <v>0</v>
      </c>
      <c r="P109" s="162">
        <f t="shared" si="34"/>
        <v>0</v>
      </c>
    </row>
    <row r="110" spans="1:16">
      <c r="B110" s="9" t="str">
        <f t="shared" si="26"/>
        <v/>
      </c>
      <c r="C110" s="157">
        <f>IF(D93="","-",+C109+1)</f>
        <v>2021</v>
      </c>
      <c r="D110" s="158">
        <f>IF(F109+SUM(E$101:E109)=D$92,F109,D$92-SUM(E$101:E109))</f>
        <v>18107.5</v>
      </c>
      <c r="E110" s="165">
        <f>IF(+J96&lt;F109,J96,D110)</f>
        <v>514</v>
      </c>
      <c r="F110" s="163">
        <f t="shared" si="28"/>
        <v>17593.5</v>
      </c>
      <c r="G110" s="163">
        <f t="shared" si="29"/>
        <v>17850.5</v>
      </c>
      <c r="H110" s="167">
        <f t="shared" si="30"/>
        <v>2347.8812356438993</v>
      </c>
      <c r="I110" s="312">
        <f t="shared" si="31"/>
        <v>2347.8812356438993</v>
      </c>
      <c r="J110" s="162">
        <f t="shared" si="27"/>
        <v>0</v>
      </c>
      <c r="K110" s="162"/>
      <c r="L110" s="330"/>
      <c r="M110" s="162">
        <f t="shared" si="32"/>
        <v>0</v>
      </c>
      <c r="N110" s="330"/>
      <c r="O110" s="162">
        <f t="shared" si="33"/>
        <v>0</v>
      </c>
      <c r="P110" s="162">
        <f t="shared" si="34"/>
        <v>0</v>
      </c>
    </row>
    <row r="111" spans="1:16">
      <c r="B111" s="9" t="str">
        <f t="shared" si="26"/>
        <v/>
      </c>
      <c r="C111" s="157">
        <f>IF(D93="","-",+C110+1)</f>
        <v>2022</v>
      </c>
      <c r="D111" s="158">
        <f>IF(F110+SUM(E$101:E110)=D$92,F110,D$92-SUM(E$101:E110))</f>
        <v>17593.5</v>
      </c>
      <c r="E111" s="165">
        <f>IF(+J96&lt;F110,J96,D111)</f>
        <v>514</v>
      </c>
      <c r="F111" s="163">
        <f t="shared" si="28"/>
        <v>17079.5</v>
      </c>
      <c r="G111" s="163">
        <f t="shared" si="29"/>
        <v>17336.5</v>
      </c>
      <c r="H111" s="167">
        <f t="shared" si="30"/>
        <v>2295.0751542948638</v>
      </c>
      <c r="I111" s="312">
        <f t="shared" si="31"/>
        <v>2295.0751542948638</v>
      </c>
      <c r="J111" s="162">
        <f t="shared" si="27"/>
        <v>0</v>
      </c>
      <c r="K111" s="162"/>
      <c r="L111" s="330"/>
      <c r="M111" s="162">
        <f t="shared" si="32"/>
        <v>0</v>
      </c>
      <c r="N111" s="330"/>
      <c r="O111" s="162">
        <f t="shared" si="33"/>
        <v>0</v>
      </c>
      <c r="P111" s="162">
        <f t="shared" si="34"/>
        <v>0</v>
      </c>
    </row>
    <row r="112" spans="1:16">
      <c r="B112" s="9" t="str">
        <f t="shared" si="26"/>
        <v/>
      </c>
      <c r="C112" s="157">
        <f>IF(D93="","-",+C111+1)</f>
        <v>2023</v>
      </c>
      <c r="D112" s="158">
        <f>IF(F111+SUM(E$101:E111)=D$92,F111,D$92-SUM(E$101:E111))</f>
        <v>17079.5</v>
      </c>
      <c r="E112" s="165">
        <f>IF(+J96&lt;F111,J96,D112)</f>
        <v>514</v>
      </c>
      <c r="F112" s="163">
        <f t="shared" si="28"/>
        <v>16565.5</v>
      </c>
      <c r="G112" s="163">
        <f t="shared" si="29"/>
        <v>16822.5</v>
      </c>
      <c r="H112" s="167">
        <f t="shared" si="30"/>
        <v>2242.2690729458277</v>
      </c>
      <c r="I112" s="312">
        <f t="shared" si="31"/>
        <v>2242.2690729458277</v>
      </c>
      <c r="J112" s="162">
        <f t="shared" si="27"/>
        <v>0</v>
      </c>
      <c r="K112" s="162"/>
      <c r="L112" s="330"/>
      <c r="M112" s="162">
        <f t="shared" si="32"/>
        <v>0</v>
      </c>
      <c r="N112" s="330"/>
      <c r="O112" s="162">
        <f t="shared" si="33"/>
        <v>0</v>
      </c>
      <c r="P112" s="162">
        <f t="shared" si="34"/>
        <v>0</v>
      </c>
    </row>
    <row r="113" spans="2:16">
      <c r="B113" s="9" t="str">
        <f t="shared" si="26"/>
        <v/>
      </c>
      <c r="C113" s="157">
        <f>IF(D93="","-",+C112+1)</f>
        <v>2024</v>
      </c>
      <c r="D113" s="158">
        <f>IF(F112+SUM(E$101:E112)=D$92,F112,D$92-SUM(E$101:E112))</f>
        <v>16565.5</v>
      </c>
      <c r="E113" s="165">
        <f>IF(+J96&lt;F112,J96,D113)</f>
        <v>514</v>
      </c>
      <c r="F113" s="163">
        <f t="shared" si="28"/>
        <v>16051.5</v>
      </c>
      <c r="G113" s="163">
        <f t="shared" si="29"/>
        <v>16308.5</v>
      </c>
      <c r="H113" s="167">
        <f t="shared" si="30"/>
        <v>2189.4629915967917</v>
      </c>
      <c r="I113" s="312">
        <f t="shared" si="31"/>
        <v>2189.4629915967917</v>
      </c>
      <c r="J113" s="162">
        <f t="shared" si="27"/>
        <v>0</v>
      </c>
      <c r="K113" s="162"/>
      <c r="L113" s="330"/>
      <c r="M113" s="162">
        <f t="shared" si="32"/>
        <v>0</v>
      </c>
      <c r="N113" s="330"/>
      <c r="O113" s="162">
        <f t="shared" si="33"/>
        <v>0</v>
      </c>
      <c r="P113" s="162">
        <f t="shared" si="34"/>
        <v>0</v>
      </c>
    </row>
    <row r="114" spans="2:16">
      <c r="B114" s="9" t="str">
        <f t="shared" si="26"/>
        <v/>
      </c>
      <c r="C114" s="157">
        <f>IF(D93="","-",+C113+1)</f>
        <v>2025</v>
      </c>
      <c r="D114" s="158">
        <f>IF(F113+SUM(E$101:E113)=D$92,F113,D$92-SUM(E$101:E113))</f>
        <v>16051.5</v>
      </c>
      <c r="E114" s="165">
        <f>IF(+J96&lt;F113,J96,D114)</f>
        <v>514</v>
      </c>
      <c r="F114" s="163">
        <f t="shared" si="28"/>
        <v>15537.5</v>
      </c>
      <c r="G114" s="163">
        <f t="shared" si="29"/>
        <v>15794.5</v>
      </c>
      <c r="H114" s="167">
        <f t="shared" si="30"/>
        <v>2136.6569102477561</v>
      </c>
      <c r="I114" s="312">
        <f t="shared" si="31"/>
        <v>2136.6569102477561</v>
      </c>
      <c r="J114" s="162">
        <f t="shared" si="27"/>
        <v>0</v>
      </c>
      <c r="K114" s="162"/>
      <c r="L114" s="330"/>
      <c r="M114" s="162">
        <f t="shared" si="32"/>
        <v>0</v>
      </c>
      <c r="N114" s="330"/>
      <c r="O114" s="162">
        <f t="shared" si="33"/>
        <v>0</v>
      </c>
      <c r="P114" s="162">
        <f t="shared" si="34"/>
        <v>0</v>
      </c>
    </row>
    <row r="115" spans="2:16">
      <c r="B115" s="9" t="str">
        <f t="shared" si="26"/>
        <v/>
      </c>
      <c r="C115" s="157">
        <f>IF(D93="","-",+C114+1)</f>
        <v>2026</v>
      </c>
      <c r="D115" s="158">
        <f>IF(F114+SUM(E$101:E114)=D$92,F114,D$92-SUM(E$101:E114))</f>
        <v>15537.5</v>
      </c>
      <c r="E115" s="165">
        <f>IF(+J96&lt;F114,J96,D115)</f>
        <v>514</v>
      </c>
      <c r="F115" s="163">
        <f t="shared" si="28"/>
        <v>15023.5</v>
      </c>
      <c r="G115" s="163">
        <f t="shared" si="29"/>
        <v>15280.5</v>
      </c>
      <c r="H115" s="167">
        <f t="shared" si="30"/>
        <v>2083.8508288987205</v>
      </c>
      <c r="I115" s="312">
        <f t="shared" si="31"/>
        <v>2083.8508288987205</v>
      </c>
      <c r="J115" s="162">
        <f t="shared" si="27"/>
        <v>0</v>
      </c>
      <c r="K115" s="162"/>
      <c r="L115" s="330"/>
      <c r="M115" s="162">
        <f t="shared" si="32"/>
        <v>0</v>
      </c>
      <c r="N115" s="330"/>
      <c r="O115" s="162">
        <f t="shared" si="33"/>
        <v>0</v>
      </c>
      <c r="P115" s="162">
        <f t="shared" si="34"/>
        <v>0</v>
      </c>
    </row>
    <row r="116" spans="2:16">
      <c r="B116" s="9" t="str">
        <f t="shared" si="26"/>
        <v/>
      </c>
      <c r="C116" s="157">
        <f>IF(D93="","-",+C115+1)</f>
        <v>2027</v>
      </c>
      <c r="D116" s="158">
        <f>IF(F115+SUM(E$101:E115)=D$92,F115,D$92-SUM(E$101:E115))</f>
        <v>15023.5</v>
      </c>
      <c r="E116" s="165">
        <f>IF(+J96&lt;F115,J96,D116)</f>
        <v>514</v>
      </c>
      <c r="F116" s="163">
        <f t="shared" si="28"/>
        <v>14509.5</v>
      </c>
      <c r="G116" s="163">
        <f t="shared" si="29"/>
        <v>14766.5</v>
      </c>
      <c r="H116" s="167">
        <f t="shared" si="30"/>
        <v>2031.0447475496844</v>
      </c>
      <c r="I116" s="312">
        <f t="shared" si="31"/>
        <v>2031.0447475496844</v>
      </c>
      <c r="J116" s="162">
        <f t="shared" si="27"/>
        <v>0</v>
      </c>
      <c r="K116" s="162"/>
      <c r="L116" s="330"/>
      <c r="M116" s="162">
        <f t="shared" si="32"/>
        <v>0</v>
      </c>
      <c r="N116" s="330"/>
      <c r="O116" s="162">
        <f t="shared" si="33"/>
        <v>0</v>
      </c>
      <c r="P116" s="162">
        <f t="shared" si="34"/>
        <v>0</v>
      </c>
    </row>
    <row r="117" spans="2:16">
      <c r="B117" s="9" t="str">
        <f t="shared" si="26"/>
        <v/>
      </c>
      <c r="C117" s="157">
        <f>IF(D93="","-",+C116+1)</f>
        <v>2028</v>
      </c>
      <c r="D117" s="158">
        <f>IF(F116+SUM(E$101:E116)=D$92,F116,D$92-SUM(E$101:E116))</f>
        <v>14509.5</v>
      </c>
      <c r="E117" s="165">
        <f>IF(+J96&lt;F116,J96,D117)</f>
        <v>514</v>
      </c>
      <c r="F117" s="163">
        <f t="shared" si="28"/>
        <v>13995.5</v>
      </c>
      <c r="G117" s="163">
        <f t="shared" si="29"/>
        <v>14252.5</v>
      </c>
      <c r="H117" s="167">
        <f t="shared" si="30"/>
        <v>1978.2386662006486</v>
      </c>
      <c r="I117" s="312">
        <f t="shared" si="31"/>
        <v>1978.2386662006486</v>
      </c>
      <c r="J117" s="162">
        <f t="shared" si="27"/>
        <v>0</v>
      </c>
      <c r="K117" s="162"/>
      <c r="L117" s="330"/>
      <c r="M117" s="162">
        <f t="shared" si="32"/>
        <v>0</v>
      </c>
      <c r="N117" s="330"/>
      <c r="O117" s="162">
        <f t="shared" si="33"/>
        <v>0</v>
      </c>
      <c r="P117" s="162">
        <f t="shared" si="34"/>
        <v>0</v>
      </c>
    </row>
    <row r="118" spans="2:16">
      <c r="B118" s="9" t="str">
        <f t="shared" si="26"/>
        <v/>
      </c>
      <c r="C118" s="157">
        <f>IF(D93="","-",+C117+1)</f>
        <v>2029</v>
      </c>
      <c r="D118" s="158">
        <f>IF(F117+SUM(E$101:E117)=D$92,F117,D$92-SUM(E$101:E117))</f>
        <v>13995.5</v>
      </c>
      <c r="E118" s="165">
        <f>IF(+J96&lt;F117,J96,D118)</f>
        <v>514</v>
      </c>
      <c r="F118" s="163">
        <f t="shared" si="28"/>
        <v>13481.5</v>
      </c>
      <c r="G118" s="163">
        <f t="shared" si="29"/>
        <v>13738.5</v>
      </c>
      <c r="H118" s="167">
        <f t="shared" si="30"/>
        <v>1925.4325848516125</v>
      </c>
      <c r="I118" s="312">
        <f t="shared" si="31"/>
        <v>1925.4325848516125</v>
      </c>
      <c r="J118" s="162">
        <f t="shared" si="27"/>
        <v>0</v>
      </c>
      <c r="K118" s="162"/>
      <c r="L118" s="330"/>
      <c r="M118" s="162">
        <f t="shared" si="32"/>
        <v>0</v>
      </c>
      <c r="N118" s="330"/>
      <c r="O118" s="162">
        <f t="shared" si="33"/>
        <v>0</v>
      </c>
      <c r="P118" s="162">
        <f t="shared" si="34"/>
        <v>0</v>
      </c>
    </row>
    <row r="119" spans="2:16">
      <c r="B119" s="9" t="str">
        <f t="shared" si="26"/>
        <v/>
      </c>
      <c r="C119" s="157">
        <f>IF(D93="","-",+C118+1)</f>
        <v>2030</v>
      </c>
      <c r="D119" s="158">
        <f>IF(F118+SUM(E$101:E118)=D$92,F118,D$92-SUM(E$101:E118))</f>
        <v>13481.5</v>
      </c>
      <c r="E119" s="165">
        <f t="shared" ref="E119:E154" si="35">IF(+J$96&lt;F118,J$96,D119)</f>
        <v>514</v>
      </c>
      <c r="F119" s="163">
        <f t="shared" si="28"/>
        <v>12967.5</v>
      </c>
      <c r="G119" s="163">
        <f t="shared" si="29"/>
        <v>13224.5</v>
      </c>
      <c r="H119" s="167">
        <f t="shared" si="30"/>
        <v>1872.6265035025767</v>
      </c>
      <c r="I119" s="312">
        <f t="shared" si="31"/>
        <v>1872.6265035025767</v>
      </c>
      <c r="J119" s="162">
        <f t="shared" si="27"/>
        <v>0</v>
      </c>
      <c r="K119" s="162"/>
      <c r="L119" s="330"/>
      <c r="M119" s="162">
        <f t="shared" si="32"/>
        <v>0</v>
      </c>
      <c r="N119" s="330"/>
      <c r="O119" s="162">
        <f t="shared" si="33"/>
        <v>0</v>
      </c>
      <c r="P119" s="162">
        <f t="shared" si="34"/>
        <v>0</v>
      </c>
    </row>
    <row r="120" spans="2:16">
      <c r="B120" s="9" t="str">
        <f t="shared" si="26"/>
        <v/>
      </c>
      <c r="C120" s="157">
        <f>IF(D93="","-",+C119+1)</f>
        <v>2031</v>
      </c>
      <c r="D120" s="158">
        <f>IF(F119+SUM(E$101:E119)=D$92,F119,D$92-SUM(E$101:E119))</f>
        <v>12967.5</v>
      </c>
      <c r="E120" s="165">
        <f t="shared" si="35"/>
        <v>514</v>
      </c>
      <c r="F120" s="163">
        <f t="shared" si="28"/>
        <v>12453.5</v>
      </c>
      <c r="G120" s="163">
        <f t="shared" si="29"/>
        <v>12710.5</v>
      </c>
      <c r="H120" s="167">
        <f t="shared" si="30"/>
        <v>1819.8204221535409</v>
      </c>
      <c r="I120" s="312">
        <f t="shared" si="31"/>
        <v>1819.8204221535409</v>
      </c>
      <c r="J120" s="162">
        <f t="shared" si="27"/>
        <v>0</v>
      </c>
      <c r="K120" s="162"/>
      <c r="L120" s="330"/>
      <c r="M120" s="162">
        <f t="shared" si="32"/>
        <v>0</v>
      </c>
      <c r="N120" s="330"/>
      <c r="O120" s="162">
        <f t="shared" si="33"/>
        <v>0</v>
      </c>
      <c r="P120" s="162">
        <f t="shared" si="34"/>
        <v>0</v>
      </c>
    </row>
    <row r="121" spans="2:16">
      <c r="B121" s="9" t="str">
        <f t="shared" si="26"/>
        <v/>
      </c>
      <c r="C121" s="157">
        <f>IF(D93="","-",+C120+1)</f>
        <v>2032</v>
      </c>
      <c r="D121" s="158">
        <f>IF(F120+SUM(E$101:E120)=D$92,F120,D$92-SUM(E$101:E120))</f>
        <v>12453.5</v>
      </c>
      <c r="E121" s="165">
        <f t="shared" si="35"/>
        <v>514</v>
      </c>
      <c r="F121" s="163">
        <f t="shared" si="28"/>
        <v>11939.5</v>
      </c>
      <c r="G121" s="163">
        <f t="shared" si="29"/>
        <v>12196.5</v>
      </c>
      <c r="H121" s="167">
        <f t="shared" si="30"/>
        <v>1767.0143408045051</v>
      </c>
      <c r="I121" s="312">
        <f t="shared" si="31"/>
        <v>1767.0143408045051</v>
      </c>
      <c r="J121" s="162">
        <f t="shared" si="27"/>
        <v>0</v>
      </c>
      <c r="K121" s="162"/>
      <c r="L121" s="330"/>
      <c r="M121" s="162">
        <f t="shared" si="32"/>
        <v>0</v>
      </c>
      <c r="N121" s="330"/>
      <c r="O121" s="162">
        <f t="shared" si="33"/>
        <v>0</v>
      </c>
      <c r="P121" s="162">
        <f t="shared" si="34"/>
        <v>0</v>
      </c>
    </row>
    <row r="122" spans="2:16">
      <c r="B122" s="9" t="str">
        <f t="shared" si="26"/>
        <v/>
      </c>
      <c r="C122" s="157">
        <f>IF(D93="","-",+C121+1)</f>
        <v>2033</v>
      </c>
      <c r="D122" s="158">
        <f>IF(F121+SUM(E$101:E121)=D$92,F121,D$92-SUM(E$101:E121))</f>
        <v>11939.5</v>
      </c>
      <c r="E122" s="165">
        <f t="shared" si="35"/>
        <v>514</v>
      </c>
      <c r="F122" s="163">
        <f t="shared" si="28"/>
        <v>11425.5</v>
      </c>
      <c r="G122" s="163">
        <f t="shared" si="29"/>
        <v>11682.5</v>
      </c>
      <c r="H122" s="167">
        <f t="shared" si="30"/>
        <v>1714.2082594554693</v>
      </c>
      <c r="I122" s="312">
        <f t="shared" si="31"/>
        <v>1714.2082594554693</v>
      </c>
      <c r="J122" s="162">
        <f t="shared" si="27"/>
        <v>0</v>
      </c>
      <c r="K122" s="162"/>
      <c r="L122" s="330"/>
      <c r="M122" s="162">
        <f t="shared" si="32"/>
        <v>0</v>
      </c>
      <c r="N122" s="330"/>
      <c r="O122" s="162">
        <f t="shared" si="33"/>
        <v>0</v>
      </c>
      <c r="P122" s="162">
        <f t="shared" si="34"/>
        <v>0</v>
      </c>
    </row>
    <row r="123" spans="2:16">
      <c r="B123" s="9" t="str">
        <f t="shared" si="26"/>
        <v/>
      </c>
      <c r="C123" s="157">
        <f>IF(D93="","-",+C122+1)</f>
        <v>2034</v>
      </c>
      <c r="D123" s="158">
        <f>IF(F122+SUM(E$101:E122)=D$92,F122,D$92-SUM(E$101:E122))</f>
        <v>11425.5</v>
      </c>
      <c r="E123" s="165">
        <f t="shared" si="35"/>
        <v>514</v>
      </c>
      <c r="F123" s="163">
        <f t="shared" si="28"/>
        <v>10911.5</v>
      </c>
      <c r="G123" s="163">
        <f t="shared" si="29"/>
        <v>11168.5</v>
      </c>
      <c r="H123" s="167">
        <f t="shared" si="30"/>
        <v>1661.4021781064334</v>
      </c>
      <c r="I123" s="312">
        <f t="shared" si="31"/>
        <v>1661.4021781064334</v>
      </c>
      <c r="J123" s="162">
        <f t="shared" si="27"/>
        <v>0</v>
      </c>
      <c r="K123" s="162"/>
      <c r="L123" s="330"/>
      <c r="M123" s="162">
        <f t="shared" si="32"/>
        <v>0</v>
      </c>
      <c r="N123" s="330"/>
      <c r="O123" s="162">
        <f t="shared" si="33"/>
        <v>0</v>
      </c>
      <c r="P123" s="162">
        <f t="shared" si="34"/>
        <v>0</v>
      </c>
    </row>
    <row r="124" spans="2:16">
      <c r="B124" s="9" t="str">
        <f t="shared" si="26"/>
        <v/>
      </c>
      <c r="C124" s="157">
        <f>IF(D93="","-",+C123+1)</f>
        <v>2035</v>
      </c>
      <c r="D124" s="158">
        <f>IF(F123+SUM(E$101:E123)=D$92,F123,D$92-SUM(E$101:E123))</f>
        <v>10911.5</v>
      </c>
      <c r="E124" s="165">
        <f t="shared" si="35"/>
        <v>514</v>
      </c>
      <c r="F124" s="163">
        <f t="shared" si="28"/>
        <v>10397.5</v>
      </c>
      <c r="G124" s="163">
        <f t="shared" si="29"/>
        <v>10654.5</v>
      </c>
      <c r="H124" s="167">
        <f t="shared" si="30"/>
        <v>1608.5960967573976</v>
      </c>
      <c r="I124" s="312">
        <f t="shared" si="31"/>
        <v>1608.5960967573976</v>
      </c>
      <c r="J124" s="162">
        <f t="shared" si="27"/>
        <v>0</v>
      </c>
      <c r="K124" s="162"/>
      <c r="L124" s="330"/>
      <c r="M124" s="162">
        <f t="shared" si="32"/>
        <v>0</v>
      </c>
      <c r="N124" s="330"/>
      <c r="O124" s="162">
        <f t="shared" si="33"/>
        <v>0</v>
      </c>
      <c r="P124" s="162">
        <f t="shared" si="34"/>
        <v>0</v>
      </c>
    </row>
    <row r="125" spans="2:16">
      <c r="B125" s="9" t="str">
        <f t="shared" si="26"/>
        <v/>
      </c>
      <c r="C125" s="157">
        <f>IF(D93="","-",+C124+1)</f>
        <v>2036</v>
      </c>
      <c r="D125" s="158">
        <f>IF(F124+SUM(E$101:E124)=D$92,F124,D$92-SUM(E$101:E124))</f>
        <v>10397.5</v>
      </c>
      <c r="E125" s="165">
        <f t="shared" si="35"/>
        <v>514</v>
      </c>
      <c r="F125" s="163">
        <f t="shared" si="28"/>
        <v>9883.5</v>
      </c>
      <c r="G125" s="163">
        <f t="shared" si="29"/>
        <v>10140.5</v>
      </c>
      <c r="H125" s="167">
        <f t="shared" si="30"/>
        <v>1555.7900154083618</v>
      </c>
      <c r="I125" s="312">
        <f t="shared" si="31"/>
        <v>1555.7900154083618</v>
      </c>
      <c r="J125" s="162">
        <f t="shared" si="27"/>
        <v>0</v>
      </c>
      <c r="K125" s="162"/>
      <c r="L125" s="330"/>
      <c r="M125" s="162">
        <f t="shared" si="32"/>
        <v>0</v>
      </c>
      <c r="N125" s="330"/>
      <c r="O125" s="162">
        <f t="shared" si="33"/>
        <v>0</v>
      </c>
      <c r="P125" s="162">
        <f t="shared" si="34"/>
        <v>0</v>
      </c>
    </row>
    <row r="126" spans="2:16">
      <c r="B126" s="9" t="str">
        <f t="shared" si="26"/>
        <v/>
      </c>
      <c r="C126" s="157">
        <f>IF(D93="","-",+C125+1)</f>
        <v>2037</v>
      </c>
      <c r="D126" s="158">
        <f>IF(F125+SUM(E$101:E125)=D$92,F125,D$92-SUM(E$101:E125))</f>
        <v>9883.5</v>
      </c>
      <c r="E126" s="165">
        <f t="shared" si="35"/>
        <v>514</v>
      </c>
      <c r="F126" s="163">
        <f t="shared" si="28"/>
        <v>9369.5</v>
      </c>
      <c r="G126" s="163">
        <f t="shared" si="29"/>
        <v>9626.5</v>
      </c>
      <c r="H126" s="167">
        <f t="shared" si="30"/>
        <v>1502.983934059326</v>
      </c>
      <c r="I126" s="312">
        <f t="shared" si="31"/>
        <v>1502.983934059326</v>
      </c>
      <c r="J126" s="162">
        <f t="shared" si="27"/>
        <v>0</v>
      </c>
      <c r="K126" s="162"/>
      <c r="L126" s="330"/>
      <c r="M126" s="162">
        <f t="shared" si="32"/>
        <v>0</v>
      </c>
      <c r="N126" s="330"/>
      <c r="O126" s="162">
        <f t="shared" si="33"/>
        <v>0</v>
      </c>
      <c r="P126" s="162">
        <f t="shared" si="34"/>
        <v>0</v>
      </c>
    </row>
    <row r="127" spans="2:16">
      <c r="B127" s="9" t="str">
        <f t="shared" si="26"/>
        <v/>
      </c>
      <c r="C127" s="157">
        <f>IF(D93="","-",+C126+1)</f>
        <v>2038</v>
      </c>
      <c r="D127" s="158">
        <f>IF(F126+SUM(E$101:E126)=D$92,F126,D$92-SUM(E$101:E126))</f>
        <v>9369.5</v>
      </c>
      <c r="E127" s="165">
        <f t="shared" si="35"/>
        <v>514</v>
      </c>
      <c r="F127" s="163">
        <f t="shared" si="28"/>
        <v>8855.5</v>
      </c>
      <c r="G127" s="163">
        <f t="shared" si="29"/>
        <v>9112.5</v>
      </c>
      <c r="H127" s="167">
        <f t="shared" si="30"/>
        <v>1450.1778527102902</v>
      </c>
      <c r="I127" s="312">
        <f t="shared" si="31"/>
        <v>1450.1778527102902</v>
      </c>
      <c r="J127" s="162">
        <f t="shared" si="27"/>
        <v>0</v>
      </c>
      <c r="K127" s="162"/>
      <c r="L127" s="330"/>
      <c r="M127" s="162">
        <f t="shared" si="32"/>
        <v>0</v>
      </c>
      <c r="N127" s="330"/>
      <c r="O127" s="162">
        <f t="shared" si="33"/>
        <v>0</v>
      </c>
      <c r="P127" s="162">
        <f t="shared" si="34"/>
        <v>0</v>
      </c>
    </row>
    <row r="128" spans="2:16">
      <c r="B128" s="9" t="str">
        <f t="shared" si="26"/>
        <v/>
      </c>
      <c r="C128" s="157">
        <f>IF(D93="","-",+C127+1)</f>
        <v>2039</v>
      </c>
      <c r="D128" s="158">
        <f>IF(F127+SUM(E$101:E127)=D$92,F127,D$92-SUM(E$101:E127))</f>
        <v>8855.5</v>
      </c>
      <c r="E128" s="165">
        <f t="shared" si="35"/>
        <v>514</v>
      </c>
      <c r="F128" s="163">
        <f t="shared" si="28"/>
        <v>8341.5</v>
      </c>
      <c r="G128" s="163">
        <f t="shared" si="29"/>
        <v>8598.5</v>
      </c>
      <c r="H128" s="167">
        <f t="shared" si="30"/>
        <v>1397.3717713612541</v>
      </c>
      <c r="I128" s="312">
        <f t="shared" si="31"/>
        <v>1397.3717713612541</v>
      </c>
      <c r="J128" s="162">
        <f t="shared" si="27"/>
        <v>0</v>
      </c>
      <c r="K128" s="162"/>
      <c r="L128" s="330"/>
      <c r="M128" s="162">
        <f t="shared" si="32"/>
        <v>0</v>
      </c>
      <c r="N128" s="330"/>
      <c r="O128" s="162">
        <f t="shared" si="33"/>
        <v>0</v>
      </c>
      <c r="P128" s="162">
        <f t="shared" si="34"/>
        <v>0</v>
      </c>
    </row>
    <row r="129" spans="2:16">
      <c r="B129" s="9" t="str">
        <f t="shared" si="26"/>
        <v/>
      </c>
      <c r="C129" s="157">
        <f>IF(D93="","-",+C128+1)</f>
        <v>2040</v>
      </c>
      <c r="D129" s="158">
        <f>IF(F128+SUM(E$101:E128)=D$92,F128,D$92-SUM(E$101:E128))</f>
        <v>8341.5</v>
      </c>
      <c r="E129" s="165">
        <f t="shared" si="35"/>
        <v>514</v>
      </c>
      <c r="F129" s="163">
        <f t="shared" si="28"/>
        <v>7827.5</v>
      </c>
      <c r="G129" s="163">
        <f t="shared" si="29"/>
        <v>8084.5</v>
      </c>
      <c r="H129" s="167">
        <f t="shared" si="30"/>
        <v>1344.5656900122185</v>
      </c>
      <c r="I129" s="312">
        <f t="shared" si="31"/>
        <v>1344.5656900122185</v>
      </c>
      <c r="J129" s="162">
        <f t="shared" si="27"/>
        <v>0</v>
      </c>
      <c r="K129" s="162"/>
      <c r="L129" s="330"/>
      <c r="M129" s="162">
        <f t="shared" si="32"/>
        <v>0</v>
      </c>
      <c r="N129" s="330"/>
      <c r="O129" s="162">
        <f t="shared" si="33"/>
        <v>0</v>
      </c>
      <c r="P129" s="162">
        <f t="shared" si="34"/>
        <v>0</v>
      </c>
    </row>
    <row r="130" spans="2:16">
      <c r="B130" s="9" t="str">
        <f t="shared" si="26"/>
        <v/>
      </c>
      <c r="C130" s="157">
        <f>IF(D93="","-",+C129+1)</f>
        <v>2041</v>
      </c>
      <c r="D130" s="158">
        <f>IF(F129+SUM(E$101:E129)=D$92,F129,D$92-SUM(E$101:E129))</f>
        <v>7827.5</v>
      </c>
      <c r="E130" s="165">
        <f t="shared" si="35"/>
        <v>514</v>
      </c>
      <c r="F130" s="163">
        <f t="shared" si="28"/>
        <v>7313.5</v>
      </c>
      <c r="G130" s="163">
        <f t="shared" si="29"/>
        <v>7570.5</v>
      </c>
      <c r="H130" s="167">
        <f t="shared" si="30"/>
        <v>1291.7596086631825</v>
      </c>
      <c r="I130" s="312">
        <f t="shared" si="31"/>
        <v>1291.7596086631825</v>
      </c>
      <c r="J130" s="162">
        <f t="shared" si="27"/>
        <v>0</v>
      </c>
      <c r="K130" s="162"/>
      <c r="L130" s="330"/>
      <c r="M130" s="162">
        <f t="shared" si="32"/>
        <v>0</v>
      </c>
      <c r="N130" s="330"/>
      <c r="O130" s="162">
        <f t="shared" si="33"/>
        <v>0</v>
      </c>
      <c r="P130" s="162">
        <f t="shared" si="34"/>
        <v>0</v>
      </c>
    </row>
    <row r="131" spans="2:16">
      <c r="B131" s="9" t="str">
        <f t="shared" si="26"/>
        <v/>
      </c>
      <c r="C131" s="157">
        <f>IF(D93="","-",+C130+1)</f>
        <v>2042</v>
      </c>
      <c r="D131" s="158">
        <f>IF(F130+SUM(E$101:E130)=D$92,F130,D$92-SUM(E$101:E130))</f>
        <v>7313.5</v>
      </c>
      <c r="E131" s="165">
        <f t="shared" si="35"/>
        <v>514</v>
      </c>
      <c r="F131" s="163">
        <f t="shared" si="28"/>
        <v>6799.5</v>
      </c>
      <c r="G131" s="163">
        <f t="shared" si="29"/>
        <v>7056.5</v>
      </c>
      <c r="H131" s="167">
        <f t="shared" si="30"/>
        <v>1238.9535273141469</v>
      </c>
      <c r="I131" s="312">
        <f t="shared" si="31"/>
        <v>1238.9535273141469</v>
      </c>
      <c r="J131" s="162">
        <f t="shared" si="27"/>
        <v>0</v>
      </c>
      <c r="K131" s="162"/>
      <c r="L131" s="330"/>
      <c r="M131" s="162">
        <f t="shared" ref="M131:M154" si="36">IF(L541&lt;&gt;0,+H541-L541,0)</f>
        <v>0</v>
      </c>
      <c r="N131" s="330"/>
      <c r="O131" s="162">
        <f t="shared" ref="O131:O154" si="37">IF(N541&lt;&gt;0,+I541-N541,0)</f>
        <v>0</v>
      </c>
      <c r="P131" s="162">
        <f t="shared" ref="P131:P154" si="38">+O541-M541</f>
        <v>0</v>
      </c>
    </row>
    <row r="132" spans="2:16">
      <c r="B132" s="9" t="str">
        <f t="shared" si="26"/>
        <v/>
      </c>
      <c r="C132" s="157">
        <f>IF(D93="","-",+C131+1)</f>
        <v>2043</v>
      </c>
      <c r="D132" s="158">
        <f>IF(F131+SUM(E$101:E131)=D$92,F131,D$92-SUM(E$101:E131))</f>
        <v>6799.5</v>
      </c>
      <c r="E132" s="165">
        <f t="shared" si="35"/>
        <v>514</v>
      </c>
      <c r="F132" s="163">
        <f t="shared" si="28"/>
        <v>6285.5</v>
      </c>
      <c r="G132" s="163">
        <f t="shared" si="29"/>
        <v>6542.5</v>
      </c>
      <c r="H132" s="167">
        <f t="shared" si="30"/>
        <v>1186.1474459651108</v>
      </c>
      <c r="I132" s="312">
        <f t="shared" si="31"/>
        <v>1186.1474459651108</v>
      </c>
      <c r="J132" s="162">
        <f t="shared" si="27"/>
        <v>0</v>
      </c>
      <c r="K132" s="162"/>
      <c r="L132" s="330"/>
      <c r="M132" s="162">
        <f t="shared" si="36"/>
        <v>0</v>
      </c>
      <c r="N132" s="330"/>
      <c r="O132" s="162">
        <f t="shared" si="37"/>
        <v>0</v>
      </c>
      <c r="P132" s="162">
        <f t="shared" si="38"/>
        <v>0</v>
      </c>
    </row>
    <row r="133" spans="2:16">
      <c r="B133" s="9" t="str">
        <f t="shared" si="26"/>
        <v/>
      </c>
      <c r="C133" s="157">
        <f>IF(D93="","-",+C132+1)</f>
        <v>2044</v>
      </c>
      <c r="D133" s="158">
        <f>IF(F132+SUM(E$101:E132)=D$92,F132,D$92-SUM(E$101:E132))</f>
        <v>6285.5</v>
      </c>
      <c r="E133" s="165">
        <f t="shared" si="35"/>
        <v>514</v>
      </c>
      <c r="F133" s="163">
        <f t="shared" si="28"/>
        <v>5771.5</v>
      </c>
      <c r="G133" s="163">
        <f t="shared" ref="G133:G154" si="39">+(F133+D133)/2</f>
        <v>6028.5</v>
      </c>
      <c r="H133" s="167">
        <f t="shared" ref="H133:H154" si="40">+J$94*G133+E133</f>
        <v>1133.341364616075</v>
      </c>
      <c r="I133" s="312">
        <f t="shared" ref="I133:I154" si="41">+J$95*G133+E133</f>
        <v>1133.341364616075</v>
      </c>
      <c r="J133" s="162">
        <f t="shared" ref="J133:J154" si="42">+I541-H541</f>
        <v>0</v>
      </c>
      <c r="K133" s="162"/>
      <c r="L133" s="330"/>
      <c r="M133" s="162">
        <f t="shared" si="36"/>
        <v>0</v>
      </c>
      <c r="N133" s="330"/>
      <c r="O133" s="162">
        <f t="shared" si="37"/>
        <v>0</v>
      </c>
      <c r="P133" s="162">
        <f t="shared" si="38"/>
        <v>0</v>
      </c>
    </row>
    <row r="134" spans="2:16">
      <c r="B134" s="9" t="str">
        <f t="shared" ref="B134:B154" si="43">IF(D134=F133,"","IU")</f>
        <v/>
      </c>
      <c r="C134" s="157">
        <f>IF(D93="","-",+C133+1)</f>
        <v>2045</v>
      </c>
      <c r="D134" s="158">
        <f>IF(F133+SUM(E$101:E133)=D$92,F133,D$92-SUM(E$101:E133))</f>
        <v>5771.5</v>
      </c>
      <c r="E134" s="165">
        <f t="shared" si="35"/>
        <v>514</v>
      </c>
      <c r="F134" s="163">
        <f t="shared" ref="F134:F154" si="44">+D134-E134</f>
        <v>5257.5</v>
      </c>
      <c r="G134" s="163">
        <f t="shared" si="39"/>
        <v>5514.5</v>
      </c>
      <c r="H134" s="167">
        <f t="shared" si="40"/>
        <v>1080.5352832670392</v>
      </c>
      <c r="I134" s="312">
        <f t="shared" si="41"/>
        <v>1080.5352832670392</v>
      </c>
      <c r="J134" s="162">
        <f t="shared" si="42"/>
        <v>0</v>
      </c>
      <c r="K134" s="162"/>
      <c r="L134" s="330"/>
      <c r="M134" s="162">
        <f t="shared" si="36"/>
        <v>0</v>
      </c>
      <c r="N134" s="330"/>
      <c r="O134" s="162">
        <f t="shared" si="37"/>
        <v>0</v>
      </c>
      <c r="P134" s="162">
        <f t="shared" si="38"/>
        <v>0</v>
      </c>
    </row>
    <row r="135" spans="2:16">
      <c r="B135" s="9" t="str">
        <f t="shared" si="43"/>
        <v/>
      </c>
      <c r="C135" s="157">
        <f>IF(D93="","-",+C134+1)</f>
        <v>2046</v>
      </c>
      <c r="D135" s="158">
        <f>IF(F134+SUM(E$101:E134)=D$92,F134,D$92-SUM(E$101:E134))</f>
        <v>5257.5</v>
      </c>
      <c r="E135" s="165">
        <f t="shared" si="35"/>
        <v>514</v>
      </c>
      <c r="F135" s="163">
        <f t="shared" si="44"/>
        <v>4743.5</v>
      </c>
      <c r="G135" s="163">
        <f t="shared" si="39"/>
        <v>5000.5</v>
      </c>
      <c r="H135" s="167">
        <f t="shared" si="40"/>
        <v>1027.7292019180034</v>
      </c>
      <c r="I135" s="312">
        <f t="shared" si="41"/>
        <v>1027.7292019180034</v>
      </c>
      <c r="J135" s="162">
        <f t="shared" si="42"/>
        <v>0</v>
      </c>
      <c r="K135" s="162"/>
      <c r="L135" s="330"/>
      <c r="M135" s="162">
        <f t="shared" si="36"/>
        <v>0</v>
      </c>
      <c r="N135" s="330"/>
      <c r="O135" s="162">
        <f t="shared" si="37"/>
        <v>0</v>
      </c>
      <c r="P135" s="162">
        <f t="shared" si="38"/>
        <v>0</v>
      </c>
    </row>
    <row r="136" spans="2:16">
      <c r="B136" s="9" t="str">
        <f t="shared" si="43"/>
        <v/>
      </c>
      <c r="C136" s="157">
        <f>IF(D93="","-",+C135+1)</f>
        <v>2047</v>
      </c>
      <c r="D136" s="158">
        <f>IF(F135+SUM(E$101:E135)=D$92,F135,D$92-SUM(E$101:E135))</f>
        <v>4743.5</v>
      </c>
      <c r="E136" s="165">
        <f t="shared" si="35"/>
        <v>514</v>
      </c>
      <c r="F136" s="163">
        <f t="shared" si="44"/>
        <v>4229.5</v>
      </c>
      <c r="G136" s="163">
        <f t="shared" si="39"/>
        <v>4486.5</v>
      </c>
      <c r="H136" s="167">
        <f t="shared" si="40"/>
        <v>974.92312056896753</v>
      </c>
      <c r="I136" s="312">
        <f t="shared" si="41"/>
        <v>974.92312056896753</v>
      </c>
      <c r="J136" s="162">
        <f t="shared" si="42"/>
        <v>0</v>
      </c>
      <c r="K136" s="162"/>
      <c r="L136" s="330"/>
      <c r="M136" s="162">
        <f t="shared" si="36"/>
        <v>0</v>
      </c>
      <c r="N136" s="330"/>
      <c r="O136" s="162">
        <f t="shared" si="37"/>
        <v>0</v>
      </c>
      <c r="P136" s="162">
        <f t="shared" si="38"/>
        <v>0</v>
      </c>
    </row>
    <row r="137" spans="2:16">
      <c r="B137" s="9" t="str">
        <f t="shared" si="43"/>
        <v/>
      </c>
      <c r="C137" s="157">
        <f>IF(D93="","-",+C136+1)</f>
        <v>2048</v>
      </c>
      <c r="D137" s="158">
        <f>IF(F136+SUM(E$101:E136)=D$92,F136,D$92-SUM(E$101:E136))</f>
        <v>4229.5</v>
      </c>
      <c r="E137" s="165">
        <f t="shared" si="35"/>
        <v>514</v>
      </c>
      <c r="F137" s="163">
        <f t="shared" si="44"/>
        <v>3715.5</v>
      </c>
      <c r="G137" s="163">
        <f t="shared" si="39"/>
        <v>3972.5</v>
      </c>
      <c r="H137" s="167">
        <f t="shared" si="40"/>
        <v>922.11703921993171</v>
      </c>
      <c r="I137" s="312">
        <f t="shared" si="41"/>
        <v>922.11703921993171</v>
      </c>
      <c r="J137" s="162">
        <f t="shared" si="42"/>
        <v>0</v>
      </c>
      <c r="K137" s="162"/>
      <c r="L137" s="330"/>
      <c r="M137" s="162">
        <f t="shared" si="36"/>
        <v>0</v>
      </c>
      <c r="N137" s="330"/>
      <c r="O137" s="162">
        <f t="shared" si="37"/>
        <v>0</v>
      </c>
      <c r="P137" s="162">
        <f t="shared" si="38"/>
        <v>0</v>
      </c>
    </row>
    <row r="138" spans="2:16">
      <c r="B138" s="9" t="str">
        <f t="shared" si="43"/>
        <v/>
      </c>
      <c r="C138" s="157">
        <f>IF(D93="","-",+C137+1)</f>
        <v>2049</v>
      </c>
      <c r="D138" s="158">
        <f>IF(F137+SUM(E$101:E137)=D$92,F137,D$92-SUM(E$101:E137))</f>
        <v>3715.5</v>
      </c>
      <c r="E138" s="165">
        <f t="shared" si="35"/>
        <v>514</v>
      </c>
      <c r="F138" s="163">
        <f t="shared" si="44"/>
        <v>3201.5</v>
      </c>
      <c r="G138" s="163">
        <f t="shared" si="39"/>
        <v>3458.5</v>
      </c>
      <c r="H138" s="167">
        <f t="shared" si="40"/>
        <v>869.31095787089589</v>
      </c>
      <c r="I138" s="312">
        <f t="shared" si="41"/>
        <v>869.31095787089589</v>
      </c>
      <c r="J138" s="162">
        <f t="shared" si="42"/>
        <v>0</v>
      </c>
      <c r="K138" s="162"/>
      <c r="L138" s="330"/>
      <c r="M138" s="162">
        <f t="shared" si="36"/>
        <v>0</v>
      </c>
      <c r="N138" s="330"/>
      <c r="O138" s="162">
        <f t="shared" si="37"/>
        <v>0</v>
      </c>
      <c r="P138" s="162">
        <f t="shared" si="38"/>
        <v>0</v>
      </c>
    </row>
    <row r="139" spans="2:16">
      <c r="B139" s="9" t="str">
        <f t="shared" si="43"/>
        <v/>
      </c>
      <c r="C139" s="157">
        <f>IF(D93="","-",+C138+1)</f>
        <v>2050</v>
      </c>
      <c r="D139" s="158">
        <f>IF(F138+SUM(E$101:E138)=D$92,F138,D$92-SUM(E$101:E138))</f>
        <v>3201.5</v>
      </c>
      <c r="E139" s="165">
        <f t="shared" si="35"/>
        <v>514</v>
      </c>
      <c r="F139" s="163">
        <f t="shared" si="44"/>
        <v>2687.5</v>
      </c>
      <c r="G139" s="163">
        <f t="shared" si="39"/>
        <v>2944.5</v>
      </c>
      <c r="H139" s="167">
        <f t="shared" si="40"/>
        <v>816.50487652186007</v>
      </c>
      <c r="I139" s="312">
        <f t="shared" si="41"/>
        <v>816.50487652186007</v>
      </c>
      <c r="J139" s="162">
        <f t="shared" si="42"/>
        <v>0</v>
      </c>
      <c r="K139" s="162"/>
      <c r="L139" s="330"/>
      <c r="M139" s="162">
        <f t="shared" si="36"/>
        <v>0</v>
      </c>
      <c r="N139" s="330"/>
      <c r="O139" s="162">
        <f t="shared" si="37"/>
        <v>0</v>
      </c>
      <c r="P139" s="162">
        <f t="shared" si="38"/>
        <v>0</v>
      </c>
    </row>
    <row r="140" spans="2:16">
      <c r="B140" s="9" t="str">
        <f t="shared" si="43"/>
        <v/>
      </c>
      <c r="C140" s="157">
        <f>IF(D93="","-",+C139+1)</f>
        <v>2051</v>
      </c>
      <c r="D140" s="158">
        <f>IF(F139+SUM(E$101:E139)=D$92,F139,D$92-SUM(E$101:E139))</f>
        <v>2687.5</v>
      </c>
      <c r="E140" s="165">
        <f t="shared" si="35"/>
        <v>514</v>
      </c>
      <c r="F140" s="163">
        <f t="shared" si="44"/>
        <v>2173.5</v>
      </c>
      <c r="G140" s="163">
        <f t="shared" si="39"/>
        <v>2430.5</v>
      </c>
      <c r="H140" s="167">
        <f t="shared" si="40"/>
        <v>763.69879517282413</v>
      </c>
      <c r="I140" s="312">
        <f t="shared" si="41"/>
        <v>763.69879517282413</v>
      </c>
      <c r="J140" s="162">
        <f t="shared" si="42"/>
        <v>0</v>
      </c>
      <c r="K140" s="162"/>
      <c r="L140" s="330"/>
      <c r="M140" s="162">
        <f t="shared" si="36"/>
        <v>0</v>
      </c>
      <c r="N140" s="330"/>
      <c r="O140" s="162">
        <f t="shared" si="37"/>
        <v>0</v>
      </c>
      <c r="P140" s="162">
        <f t="shared" si="38"/>
        <v>0</v>
      </c>
    </row>
    <row r="141" spans="2:16">
      <c r="B141" s="9" t="str">
        <f t="shared" si="43"/>
        <v/>
      </c>
      <c r="C141" s="157">
        <f>IF(D93="","-",+C140+1)</f>
        <v>2052</v>
      </c>
      <c r="D141" s="158">
        <f>IF(F140+SUM(E$101:E140)=D$92,F140,D$92-SUM(E$101:E140))</f>
        <v>2173.5</v>
      </c>
      <c r="E141" s="165">
        <f t="shared" si="35"/>
        <v>514</v>
      </c>
      <c r="F141" s="163">
        <f t="shared" si="44"/>
        <v>1659.5</v>
      </c>
      <c r="G141" s="163">
        <f t="shared" si="39"/>
        <v>1916.5</v>
      </c>
      <c r="H141" s="167">
        <f t="shared" si="40"/>
        <v>710.89271382378831</v>
      </c>
      <c r="I141" s="312">
        <f t="shared" si="41"/>
        <v>710.89271382378831</v>
      </c>
      <c r="J141" s="162">
        <f t="shared" si="42"/>
        <v>0</v>
      </c>
      <c r="K141" s="162"/>
      <c r="L141" s="330"/>
      <c r="M141" s="162">
        <f t="shared" si="36"/>
        <v>0</v>
      </c>
      <c r="N141" s="330"/>
      <c r="O141" s="162">
        <f t="shared" si="37"/>
        <v>0</v>
      </c>
      <c r="P141" s="162">
        <f t="shared" si="38"/>
        <v>0</v>
      </c>
    </row>
    <row r="142" spans="2:16">
      <c r="B142" s="9" t="str">
        <f t="shared" si="43"/>
        <v/>
      </c>
      <c r="C142" s="157">
        <f>IF(D93="","-",+C141+1)</f>
        <v>2053</v>
      </c>
      <c r="D142" s="158">
        <f>IF(F141+SUM(E$101:E141)=D$92,F141,D$92-SUM(E$101:E141))</f>
        <v>1659.5</v>
      </c>
      <c r="E142" s="165">
        <f t="shared" si="35"/>
        <v>514</v>
      </c>
      <c r="F142" s="163">
        <f t="shared" si="44"/>
        <v>1145.5</v>
      </c>
      <c r="G142" s="163">
        <f t="shared" si="39"/>
        <v>1402.5</v>
      </c>
      <c r="H142" s="167">
        <f t="shared" si="40"/>
        <v>658.08663247475249</v>
      </c>
      <c r="I142" s="312">
        <f t="shared" si="41"/>
        <v>658.08663247475249</v>
      </c>
      <c r="J142" s="162">
        <f t="shared" si="42"/>
        <v>0</v>
      </c>
      <c r="K142" s="162"/>
      <c r="L142" s="330"/>
      <c r="M142" s="162">
        <f t="shared" si="36"/>
        <v>0</v>
      </c>
      <c r="N142" s="330"/>
      <c r="O142" s="162">
        <f t="shared" si="37"/>
        <v>0</v>
      </c>
      <c r="P142" s="162">
        <f t="shared" si="38"/>
        <v>0</v>
      </c>
    </row>
    <row r="143" spans="2:16">
      <c r="B143" s="9" t="str">
        <f t="shared" si="43"/>
        <v/>
      </c>
      <c r="C143" s="157">
        <f>IF(D93="","-",+C142+1)</f>
        <v>2054</v>
      </c>
      <c r="D143" s="158">
        <f>IF(F142+SUM(E$101:E142)=D$92,F142,D$92-SUM(E$101:E142))</f>
        <v>1145.5</v>
      </c>
      <c r="E143" s="165">
        <f t="shared" si="35"/>
        <v>514</v>
      </c>
      <c r="F143" s="163">
        <f t="shared" si="44"/>
        <v>631.5</v>
      </c>
      <c r="G143" s="163">
        <f t="shared" si="39"/>
        <v>888.5</v>
      </c>
      <c r="H143" s="167">
        <f t="shared" si="40"/>
        <v>605.28055112571667</v>
      </c>
      <c r="I143" s="312">
        <f t="shared" si="41"/>
        <v>605.28055112571667</v>
      </c>
      <c r="J143" s="162">
        <f t="shared" si="42"/>
        <v>0</v>
      </c>
      <c r="K143" s="162"/>
      <c r="L143" s="330"/>
      <c r="M143" s="162">
        <f t="shared" si="36"/>
        <v>0</v>
      </c>
      <c r="N143" s="330"/>
      <c r="O143" s="162">
        <f t="shared" si="37"/>
        <v>0</v>
      </c>
      <c r="P143" s="162">
        <f t="shared" si="38"/>
        <v>0</v>
      </c>
    </row>
    <row r="144" spans="2:16">
      <c r="B144" s="9" t="str">
        <f t="shared" si="43"/>
        <v/>
      </c>
      <c r="C144" s="157">
        <f>IF(D93="","-",+C143+1)</f>
        <v>2055</v>
      </c>
      <c r="D144" s="158">
        <f>IF(F143+SUM(E$101:E143)=D$92,F143,D$92-SUM(E$101:E143))</f>
        <v>631.5</v>
      </c>
      <c r="E144" s="165">
        <f t="shared" si="35"/>
        <v>514</v>
      </c>
      <c r="F144" s="163">
        <f t="shared" si="44"/>
        <v>117.5</v>
      </c>
      <c r="G144" s="163">
        <f t="shared" si="39"/>
        <v>374.5</v>
      </c>
      <c r="H144" s="167">
        <f t="shared" si="40"/>
        <v>552.47446977668073</v>
      </c>
      <c r="I144" s="312">
        <f t="shared" si="41"/>
        <v>552.47446977668073</v>
      </c>
      <c r="J144" s="162">
        <f t="shared" si="42"/>
        <v>0</v>
      </c>
      <c r="K144" s="162"/>
      <c r="L144" s="330"/>
      <c r="M144" s="162">
        <f t="shared" si="36"/>
        <v>0</v>
      </c>
      <c r="N144" s="330"/>
      <c r="O144" s="162">
        <f t="shared" si="37"/>
        <v>0</v>
      </c>
      <c r="P144" s="162">
        <f t="shared" si="38"/>
        <v>0</v>
      </c>
    </row>
    <row r="145" spans="2:16">
      <c r="B145" s="9" t="str">
        <f t="shared" si="43"/>
        <v/>
      </c>
      <c r="C145" s="157">
        <f>IF(D93="","-",+C144+1)</f>
        <v>2056</v>
      </c>
      <c r="D145" s="158">
        <f>IF(F144+SUM(E$101:E144)=D$92,F144,D$92-SUM(E$101:E144))</f>
        <v>117.5</v>
      </c>
      <c r="E145" s="165">
        <f t="shared" si="35"/>
        <v>117.5</v>
      </c>
      <c r="F145" s="163">
        <f t="shared" si="44"/>
        <v>0</v>
      </c>
      <c r="G145" s="163">
        <f t="shared" si="39"/>
        <v>58.75</v>
      </c>
      <c r="H145" s="167">
        <f t="shared" si="40"/>
        <v>123.53571455108143</v>
      </c>
      <c r="I145" s="312">
        <f t="shared" si="41"/>
        <v>123.53571455108143</v>
      </c>
      <c r="J145" s="162">
        <f t="shared" si="42"/>
        <v>0</v>
      </c>
      <c r="K145" s="162"/>
      <c r="L145" s="330"/>
      <c r="M145" s="162">
        <f t="shared" si="36"/>
        <v>0</v>
      </c>
      <c r="N145" s="330"/>
      <c r="O145" s="162">
        <f t="shared" si="37"/>
        <v>0</v>
      </c>
      <c r="P145" s="162">
        <f t="shared" si="38"/>
        <v>0</v>
      </c>
    </row>
    <row r="146" spans="2:16">
      <c r="B146" s="9" t="str">
        <f t="shared" si="43"/>
        <v/>
      </c>
      <c r="C146" s="157">
        <f>IF(D93="","-",+C145+1)</f>
        <v>2057</v>
      </c>
      <c r="D146" s="158">
        <f>IF(F145+SUM(E$101:E145)=D$92,F145,D$92-SUM(E$101:E145))</f>
        <v>0</v>
      </c>
      <c r="E146" s="165">
        <f t="shared" si="35"/>
        <v>0</v>
      </c>
      <c r="F146" s="163">
        <f t="shared" si="44"/>
        <v>0</v>
      </c>
      <c r="G146" s="163">
        <f t="shared" si="39"/>
        <v>0</v>
      </c>
      <c r="H146" s="167">
        <f t="shared" si="40"/>
        <v>0</v>
      </c>
      <c r="I146" s="312">
        <f t="shared" si="41"/>
        <v>0</v>
      </c>
      <c r="J146" s="162">
        <f t="shared" si="42"/>
        <v>0</v>
      </c>
      <c r="K146" s="162"/>
      <c r="L146" s="330"/>
      <c r="M146" s="162">
        <f t="shared" si="36"/>
        <v>0</v>
      </c>
      <c r="N146" s="330"/>
      <c r="O146" s="162">
        <f t="shared" si="37"/>
        <v>0</v>
      </c>
      <c r="P146" s="162">
        <f t="shared" si="38"/>
        <v>0</v>
      </c>
    </row>
    <row r="147" spans="2:16">
      <c r="B147" s="9" t="str">
        <f t="shared" si="43"/>
        <v/>
      </c>
      <c r="C147" s="157">
        <f>IF(D93="","-",+C146+1)</f>
        <v>2058</v>
      </c>
      <c r="D147" s="158">
        <f>IF(F146+SUM(E$101:E146)=D$92,F146,D$92-SUM(E$101:E146))</f>
        <v>0</v>
      </c>
      <c r="E147" s="165">
        <f t="shared" si="35"/>
        <v>0</v>
      </c>
      <c r="F147" s="163">
        <f t="shared" si="44"/>
        <v>0</v>
      </c>
      <c r="G147" s="163">
        <f t="shared" si="39"/>
        <v>0</v>
      </c>
      <c r="H147" s="167">
        <f t="shared" si="40"/>
        <v>0</v>
      </c>
      <c r="I147" s="312">
        <f t="shared" si="41"/>
        <v>0</v>
      </c>
      <c r="J147" s="162">
        <f t="shared" si="42"/>
        <v>0</v>
      </c>
      <c r="K147" s="162"/>
      <c r="L147" s="330"/>
      <c r="M147" s="162">
        <f t="shared" si="36"/>
        <v>0</v>
      </c>
      <c r="N147" s="330"/>
      <c r="O147" s="162">
        <f t="shared" si="37"/>
        <v>0</v>
      </c>
      <c r="P147" s="162">
        <f t="shared" si="38"/>
        <v>0</v>
      </c>
    </row>
    <row r="148" spans="2:16">
      <c r="B148" s="9" t="str">
        <f t="shared" si="43"/>
        <v/>
      </c>
      <c r="C148" s="157">
        <f>IF(D93="","-",+C147+1)</f>
        <v>2059</v>
      </c>
      <c r="D148" s="158">
        <f>IF(F147+SUM(E$101:E147)=D$92,F147,D$92-SUM(E$101:E147))</f>
        <v>0</v>
      </c>
      <c r="E148" s="165">
        <f t="shared" si="35"/>
        <v>0</v>
      </c>
      <c r="F148" s="163">
        <f t="shared" si="44"/>
        <v>0</v>
      </c>
      <c r="G148" s="163">
        <f t="shared" si="39"/>
        <v>0</v>
      </c>
      <c r="H148" s="167">
        <f t="shared" si="40"/>
        <v>0</v>
      </c>
      <c r="I148" s="312">
        <f t="shared" si="41"/>
        <v>0</v>
      </c>
      <c r="J148" s="162">
        <f t="shared" si="42"/>
        <v>0</v>
      </c>
      <c r="K148" s="162"/>
      <c r="L148" s="330"/>
      <c r="M148" s="162">
        <f t="shared" si="36"/>
        <v>0</v>
      </c>
      <c r="N148" s="330"/>
      <c r="O148" s="162">
        <f t="shared" si="37"/>
        <v>0</v>
      </c>
      <c r="P148" s="162">
        <f t="shared" si="38"/>
        <v>0</v>
      </c>
    </row>
    <row r="149" spans="2:16">
      <c r="B149" s="9" t="str">
        <f t="shared" si="43"/>
        <v/>
      </c>
      <c r="C149" s="157">
        <f>IF(D93="","-",+C148+1)</f>
        <v>2060</v>
      </c>
      <c r="D149" s="158">
        <f>IF(F148+SUM(E$101:E148)=D$92,F148,D$92-SUM(E$101:E148))</f>
        <v>0</v>
      </c>
      <c r="E149" s="165">
        <f t="shared" si="35"/>
        <v>0</v>
      </c>
      <c r="F149" s="163">
        <f t="shared" si="44"/>
        <v>0</v>
      </c>
      <c r="G149" s="163">
        <f t="shared" si="39"/>
        <v>0</v>
      </c>
      <c r="H149" s="167">
        <f t="shared" si="40"/>
        <v>0</v>
      </c>
      <c r="I149" s="312">
        <f t="shared" si="41"/>
        <v>0</v>
      </c>
      <c r="J149" s="162">
        <f t="shared" si="42"/>
        <v>0</v>
      </c>
      <c r="K149" s="162"/>
      <c r="L149" s="330"/>
      <c r="M149" s="162">
        <f t="shared" si="36"/>
        <v>0</v>
      </c>
      <c r="N149" s="330"/>
      <c r="O149" s="162">
        <f t="shared" si="37"/>
        <v>0</v>
      </c>
      <c r="P149" s="162">
        <f t="shared" si="38"/>
        <v>0</v>
      </c>
    </row>
    <row r="150" spans="2:16">
      <c r="B150" s="9" t="str">
        <f t="shared" si="43"/>
        <v/>
      </c>
      <c r="C150" s="157">
        <f>IF(D93="","-",+C149+1)</f>
        <v>2061</v>
      </c>
      <c r="D150" s="158">
        <f>IF(F149+SUM(E$101:E149)=D$92,F149,D$92-SUM(E$101:E149))</f>
        <v>0</v>
      </c>
      <c r="E150" s="165">
        <f t="shared" si="35"/>
        <v>0</v>
      </c>
      <c r="F150" s="163">
        <f t="shared" si="44"/>
        <v>0</v>
      </c>
      <c r="G150" s="163">
        <f t="shared" si="39"/>
        <v>0</v>
      </c>
      <c r="H150" s="167">
        <f t="shared" si="40"/>
        <v>0</v>
      </c>
      <c r="I150" s="312">
        <f t="shared" si="41"/>
        <v>0</v>
      </c>
      <c r="J150" s="162">
        <f t="shared" si="42"/>
        <v>0</v>
      </c>
      <c r="K150" s="162"/>
      <c r="L150" s="330"/>
      <c r="M150" s="162">
        <f t="shared" si="36"/>
        <v>0</v>
      </c>
      <c r="N150" s="330"/>
      <c r="O150" s="162">
        <f t="shared" si="37"/>
        <v>0</v>
      </c>
      <c r="P150" s="162">
        <f t="shared" si="38"/>
        <v>0</v>
      </c>
    </row>
    <row r="151" spans="2:16">
      <c r="B151" s="9" t="str">
        <f t="shared" si="43"/>
        <v/>
      </c>
      <c r="C151" s="157">
        <f>IF(D93="","-",+C150+1)</f>
        <v>2062</v>
      </c>
      <c r="D151" s="158">
        <f>IF(F150+SUM(E$101:E150)=D$92,F150,D$92-SUM(E$101:E150))</f>
        <v>0</v>
      </c>
      <c r="E151" s="165">
        <f t="shared" si="35"/>
        <v>0</v>
      </c>
      <c r="F151" s="163">
        <f t="shared" si="44"/>
        <v>0</v>
      </c>
      <c r="G151" s="163">
        <f t="shared" si="39"/>
        <v>0</v>
      </c>
      <c r="H151" s="167">
        <f t="shared" si="40"/>
        <v>0</v>
      </c>
      <c r="I151" s="312">
        <f t="shared" si="41"/>
        <v>0</v>
      </c>
      <c r="J151" s="162">
        <f t="shared" si="42"/>
        <v>0</v>
      </c>
      <c r="K151" s="162"/>
      <c r="L151" s="330"/>
      <c r="M151" s="162">
        <f t="shared" si="36"/>
        <v>0</v>
      </c>
      <c r="N151" s="330"/>
      <c r="O151" s="162">
        <f t="shared" si="37"/>
        <v>0</v>
      </c>
      <c r="P151" s="162">
        <f t="shared" si="38"/>
        <v>0</v>
      </c>
    </row>
    <row r="152" spans="2:16">
      <c r="B152" s="9" t="str">
        <f t="shared" si="43"/>
        <v/>
      </c>
      <c r="C152" s="157">
        <f>IF(D93="","-",+C151+1)</f>
        <v>2063</v>
      </c>
      <c r="D152" s="158">
        <f>IF(F151+SUM(E$101:E151)=D$92,F151,D$92-SUM(E$101:E151))</f>
        <v>0</v>
      </c>
      <c r="E152" s="165">
        <f t="shared" si="35"/>
        <v>0</v>
      </c>
      <c r="F152" s="163">
        <f t="shared" si="44"/>
        <v>0</v>
      </c>
      <c r="G152" s="163">
        <f t="shared" si="39"/>
        <v>0</v>
      </c>
      <c r="H152" s="167">
        <f t="shared" si="40"/>
        <v>0</v>
      </c>
      <c r="I152" s="312">
        <f t="shared" si="41"/>
        <v>0</v>
      </c>
      <c r="J152" s="162">
        <f t="shared" si="42"/>
        <v>0</v>
      </c>
      <c r="K152" s="162"/>
      <c r="L152" s="330"/>
      <c r="M152" s="162">
        <f t="shared" si="36"/>
        <v>0</v>
      </c>
      <c r="N152" s="330"/>
      <c r="O152" s="162">
        <f t="shared" si="37"/>
        <v>0</v>
      </c>
      <c r="P152" s="162">
        <f t="shared" si="38"/>
        <v>0</v>
      </c>
    </row>
    <row r="153" spans="2:16">
      <c r="B153" s="9" t="str">
        <f t="shared" si="43"/>
        <v/>
      </c>
      <c r="C153" s="157">
        <f>IF(D93="","-",+C152+1)</f>
        <v>2064</v>
      </c>
      <c r="D153" s="158">
        <f>IF(F152+SUM(E$101:E152)=D$92,F152,D$92-SUM(E$101:E152))</f>
        <v>0</v>
      </c>
      <c r="E153" s="165">
        <f t="shared" si="35"/>
        <v>0</v>
      </c>
      <c r="F153" s="163">
        <f t="shared" si="44"/>
        <v>0</v>
      </c>
      <c r="G153" s="163">
        <f t="shared" si="39"/>
        <v>0</v>
      </c>
      <c r="H153" s="167">
        <f t="shared" si="40"/>
        <v>0</v>
      </c>
      <c r="I153" s="312">
        <f t="shared" si="41"/>
        <v>0</v>
      </c>
      <c r="J153" s="162">
        <f t="shared" si="42"/>
        <v>0</v>
      </c>
      <c r="K153" s="162"/>
      <c r="L153" s="330"/>
      <c r="M153" s="162">
        <f t="shared" si="36"/>
        <v>0</v>
      </c>
      <c r="N153" s="330"/>
      <c r="O153" s="162">
        <f t="shared" si="37"/>
        <v>0</v>
      </c>
      <c r="P153" s="162">
        <f t="shared" si="38"/>
        <v>0</v>
      </c>
    </row>
    <row r="154" spans="2:16" ht="13.5" thickBot="1">
      <c r="B154" s="9" t="str">
        <f t="shared" si="43"/>
        <v/>
      </c>
      <c r="C154" s="168">
        <f>IF(D93="","-",+C153+1)</f>
        <v>2065</v>
      </c>
      <c r="D154" s="219">
        <f>IF(F153+SUM(E$101:E153)=D$92,F153,D$92-SUM(E$101:E153))</f>
        <v>0</v>
      </c>
      <c r="E154" s="372">
        <f t="shared" si="35"/>
        <v>0</v>
      </c>
      <c r="F154" s="169">
        <f t="shared" si="44"/>
        <v>0</v>
      </c>
      <c r="G154" s="169">
        <f t="shared" si="39"/>
        <v>0</v>
      </c>
      <c r="H154" s="171">
        <f t="shared" si="40"/>
        <v>0</v>
      </c>
      <c r="I154" s="313">
        <f t="shared" si="41"/>
        <v>0</v>
      </c>
      <c r="J154" s="173">
        <f t="shared" si="42"/>
        <v>0</v>
      </c>
      <c r="K154" s="162"/>
      <c r="L154" s="331"/>
      <c r="M154" s="173">
        <f t="shared" si="36"/>
        <v>0</v>
      </c>
      <c r="N154" s="331"/>
      <c r="O154" s="173">
        <f t="shared" si="37"/>
        <v>0</v>
      </c>
      <c r="P154" s="173">
        <f t="shared" si="38"/>
        <v>0</v>
      </c>
    </row>
    <row r="155" spans="2:16">
      <c r="C155" s="158" t="s">
        <v>77</v>
      </c>
      <c r="D155" s="115"/>
      <c r="E155" s="115">
        <f>SUM(E101:E154)</f>
        <v>22097</v>
      </c>
      <c r="F155" s="115"/>
      <c r="G155" s="115"/>
      <c r="H155" s="115">
        <f>SUM(H101:H154)</f>
        <v>77947.907974011658</v>
      </c>
      <c r="I155" s="115">
        <f>SUM(I101:I154)</f>
        <v>77947.907974011658</v>
      </c>
      <c r="J155" s="115">
        <f>SUM(J101:J154)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35" priority="3" stopIfTrue="1" operator="equal">
      <formula>$I$10</formula>
    </cfRule>
  </conditionalFormatting>
  <conditionalFormatting sqref="C102:C152">
    <cfRule type="cellIs" dxfId="34" priority="4" stopIfTrue="1" operator="equal">
      <formula>$J$92</formula>
    </cfRule>
  </conditionalFormatting>
  <conditionalFormatting sqref="C153:C154">
    <cfRule type="cellIs" dxfId="33" priority="2" stopIfTrue="1" operator="equal">
      <formula>$J$92</formula>
    </cfRule>
  </conditionalFormatting>
  <conditionalFormatting sqref="C100:C101">
    <cfRule type="cellIs" dxfId="32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view="pageBreakPreview" zoomScale="75" zoomScaleNormal="100" zoomScaleSheetLayoutView="75" workbookViewId="0">
      <selection activeCell="D22" sqref="D22:H22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14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136430.26666666666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136430.26666666666</v>
      </c>
      <c r="O6" s="1"/>
      <c r="P6" s="1"/>
    </row>
    <row r="7" spans="1:16" ht="13.5" thickBot="1">
      <c r="C7" s="127" t="s">
        <v>46</v>
      </c>
      <c r="D7" s="227" t="s">
        <v>242</v>
      </c>
      <c r="E7" s="385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377" t="s">
        <v>241</v>
      </c>
      <c r="E9" s="406" t="s">
        <v>293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1035552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2013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2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23012.266666666666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6" t="s">
        <v>105</v>
      </c>
      <c r="O16" s="156" t="s">
        <v>105</v>
      </c>
      <c r="P16" s="4"/>
    </row>
    <row r="17" spans="2:16">
      <c r="B17" s="9"/>
      <c r="C17" s="157">
        <f>IF(D11= "","-",D11)</f>
        <v>2013</v>
      </c>
      <c r="D17" s="405">
        <v>5562500</v>
      </c>
      <c r="E17" s="423">
        <v>89142.628205128203</v>
      </c>
      <c r="F17" s="405">
        <v>5473357.371794872</v>
      </c>
      <c r="G17" s="423">
        <v>870775.06277038739</v>
      </c>
      <c r="H17" s="404">
        <v>870775.06277038739</v>
      </c>
      <c r="I17" s="160">
        <v>0</v>
      </c>
      <c r="J17" s="175"/>
      <c r="K17" s="332">
        <f t="shared" ref="K17:K22" si="0">G17</f>
        <v>870775.06277038739</v>
      </c>
      <c r="L17" s="417">
        <f t="shared" ref="L17:L22" si="1">IF(K17&lt;&gt;0,+G17-K17,0)</f>
        <v>0</v>
      </c>
      <c r="M17" s="332">
        <f t="shared" ref="M17:M22" si="2">H17</f>
        <v>870775.06277038739</v>
      </c>
      <c r="N17" s="161">
        <f t="shared" ref="N17:N22" si="3">IF(M17&lt;&gt;0,+H17-M17,0)</f>
        <v>0</v>
      </c>
      <c r="O17" s="160">
        <f t="shared" ref="O17:O22" si="4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2014</v>
      </c>
      <c r="D18" s="415">
        <v>5473357</v>
      </c>
      <c r="E18" s="414">
        <v>19910</v>
      </c>
      <c r="F18" s="415">
        <v>5453447</v>
      </c>
      <c r="G18" s="414">
        <v>770625</v>
      </c>
      <c r="H18" s="416">
        <v>770625</v>
      </c>
      <c r="I18" s="160">
        <f>H18-G18</f>
        <v>0</v>
      </c>
      <c r="J18" s="175"/>
      <c r="K18" s="333">
        <f t="shared" si="0"/>
        <v>770625</v>
      </c>
      <c r="L18" s="417">
        <f t="shared" si="1"/>
        <v>0</v>
      </c>
      <c r="M18" s="333">
        <f t="shared" si="2"/>
        <v>770625</v>
      </c>
      <c r="N18" s="162">
        <f t="shared" si="3"/>
        <v>0</v>
      </c>
      <c r="O18" s="160">
        <f t="shared" si="4"/>
        <v>0</v>
      </c>
      <c r="P18" s="4"/>
    </row>
    <row r="19" spans="2:16">
      <c r="B19" s="9" t="str">
        <f>IF(D19=F18,"","IU")</f>
        <v/>
      </c>
      <c r="C19" s="157">
        <f>IF(D11="","-",+C18+1)</f>
        <v>2015</v>
      </c>
      <c r="D19" s="415">
        <v>5453447</v>
      </c>
      <c r="E19" s="414">
        <f t="shared" ref="E19:E72" si="5">IF(+$I$14&lt;F18,$I$14,D19)</f>
        <v>23012.266666666666</v>
      </c>
      <c r="F19" s="415">
        <v>5433533</v>
      </c>
      <c r="G19" s="414">
        <v>769045</v>
      </c>
      <c r="H19" s="416">
        <v>769045</v>
      </c>
      <c r="I19" s="160">
        <f t="shared" ref="I19:I72" si="6">H19-G19</f>
        <v>0</v>
      </c>
      <c r="J19" s="175"/>
      <c r="K19" s="333">
        <f t="shared" si="0"/>
        <v>769045</v>
      </c>
      <c r="L19" s="417">
        <f t="shared" si="1"/>
        <v>0</v>
      </c>
      <c r="M19" s="333">
        <f t="shared" si="2"/>
        <v>769045</v>
      </c>
      <c r="N19" s="162">
        <f t="shared" si="3"/>
        <v>0</v>
      </c>
      <c r="O19" s="160">
        <f t="shared" si="4"/>
        <v>0</v>
      </c>
      <c r="P19" s="4"/>
    </row>
    <row r="20" spans="2:16">
      <c r="B20" s="9" t="str">
        <f t="shared" ref="B20:B72" si="7">IF(D20=F19,"","IU")</f>
        <v>IU</v>
      </c>
      <c r="C20" s="157">
        <f>IF(D11="","-",+C19+1)</f>
        <v>2016</v>
      </c>
      <c r="D20" s="415">
        <v>906584.91025641025</v>
      </c>
      <c r="E20" s="414">
        <v>19914.461538461539</v>
      </c>
      <c r="F20" s="415">
        <v>886670.44871794875</v>
      </c>
      <c r="G20" s="414">
        <v>136209.46153846153</v>
      </c>
      <c r="H20" s="416">
        <v>136209.46153846153</v>
      </c>
      <c r="I20" s="160">
        <f t="shared" si="6"/>
        <v>0</v>
      </c>
      <c r="J20" s="175"/>
      <c r="K20" s="333">
        <f t="shared" si="0"/>
        <v>136209.46153846153</v>
      </c>
      <c r="L20" s="417">
        <f t="shared" si="1"/>
        <v>0</v>
      </c>
      <c r="M20" s="333">
        <f t="shared" si="2"/>
        <v>136209.46153846153</v>
      </c>
      <c r="N20" s="162">
        <f t="shared" si="3"/>
        <v>0</v>
      </c>
      <c r="O20" s="160">
        <f t="shared" si="4"/>
        <v>0</v>
      </c>
      <c r="P20" s="4"/>
    </row>
    <row r="21" spans="2:16">
      <c r="B21" s="9" t="str">
        <f t="shared" si="7"/>
        <v>IU</v>
      </c>
      <c r="C21" s="157">
        <f>IF(D11="","-",+C20+1)</f>
        <v>2017</v>
      </c>
      <c r="D21" s="415">
        <v>884072.91025641025</v>
      </c>
      <c r="E21" s="414">
        <v>22512</v>
      </c>
      <c r="F21" s="415">
        <v>861560.91025641025</v>
      </c>
      <c r="G21" s="414">
        <v>132155</v>
      </c>
      <c r="H21" s="416">
        <v>132155</v>
      </c>
      <c r="I21" s="160">
        <f t="shared" si="6"/>
        <v>0</v>
      </c>
      <c r="J21" s="175"/>
      <c r="K21" s="333">
        <f t="shared" si="0"/>
        <v>132155</v>
      </c>
      <c r="L21" s="417">
        <f t="shared" si="1"/>
        <v>0</v>
      </c>
      <c r="M21" s="333">
        <f t="shared" si="2"/>
        <v>132155</v>
      </c>
      <c r="N21" s="162">
        <f t="shared" si="3"/>
        <v>0</v>
      </c>
      <c r="O21" s="160">
        <f t="shared" si="4"/>
        <v>0</v>
      </c>
      <c r="P21" s="4"/>
    </row>
    <row r="22" spans="2:16">
      <c r="B22" s="9" t="str">
        <f t="shared" si="7"/>
        <v>IU</v>
      </c>
      <c r="C22" s="157">
        <f>IF(D11="","-",+C21+1)</f>
        <v>2018</v>
      </c>
      <c r="D22" s="415">
        <v>861060.64358974365</v>
      </c>
      <c r="E22" s="414">
        <v>23012.266666666666</v>
      </c>
      <c r="F22" s="415">
        <v>838048.37692307692</v>
      </c>
      <c r="G22" s="414">
        <v>136430.26666666666</v>
      </c>
      <c r="H22" s="416">
        <v>136430.26666666666</v>
      </c>
      <c r="I22" s="160">
        <f t="shared" si="6"/>
        <v>0</v>
      </c>
      <c r="J22" s="175"/>
      <c r="K22" s="333">
        <f t="shared" si="0"/>
        <v>136430.26666666666</v>
      </c>
      <c r="L22" s="417">
        <f t="shared" si="1"/>
        <v>0</v>
      </c>
      <c r="M22" s="333">
        <f t="shared" si="2"/>
        <v>136430.26666666666</v>
      </c>
      <c r="N22" s="162">
        <f t="shared" si="3"/>
        <v>0</v>
      </c>
      <c r="O22" s="160">
        <f t="shared" si="4"/>
        <v>0</v>
      </c>
      <c r="P22" s="4"/>
    </row>
    <row r="23" spans="2:16">
      <c r="B23" s="9" t="str">
        <f t="shared" si="7"/>
        <v/>
      </c>
      <c r="C23" s="157">
        <f>IF(D11="","-",+C22+1)</f>
        <v>2019</v>
      </c>
      <c r="D23" s="163">
        <f>IF(F22+SUM(E$17:E22)=D$10,F22,D$10-SUM(E$17:E22))</f>
        <v>838048.37692307692</v>
      </c>
      <c r="E23" s="164">
        <f t="shared" si="5"/>
        <v>23012.266666666666</v>
      </c>
      <c r="F23" s="163">
        <f t="shared" ref="F23:F72" si="8">+D23-E23</f>
        <v>815036.1102564102</v>
      </c>
      <c r="G23" s="165">
        <f t="shared" ref="G23:G72" si="9">ROUND(I$12*F23,0)+E23</f>
        <v>133315.26666666666</v>
      </c>
      <c r="H23" s="147">
        <f t="shared" ref="H23:H72" si="10">ROUND(I$13*F23,0)+E23</f>
        <v>133315.26666666666</v>
      </c>
      <c r="I23" s="160">
        <f t="shared" si="6"/>
        <v>0</v>
      </c>
      <c r="J23" s="160"/>
      <c r="K23" s="330"/>
      <c r="L23" s="162">
        <f t="shared" ref="L23:L72" si="11">IF(K23&lt;&gt;0,+G23-K23,0)</f>
        <v>0</v>
      </c>
      <c r="M23" s="330"/>
      <c r="N23" s="162">
        <f t="shared" ref="N23:N72" si="12">IF(M23&lt;&gt;0,+H23-M23,0)</f>
        <v>0</v>
      </c>
      <c r="O23" s="162">
        <f t="shared" ref="O23:O72" si="13">+N23-L23</f>
        <v>0</v>
      </c>
      <c r="P23" s="4"/>
    </row>
    <row r="24" spans="2:16">
      <c r="B24" s="9" t="str">
        <f t="shared" si="7"/>
        <v/>
      </c>
      <c r="C24" s="157">
        <f>IF(D11="","-",+C23+1)</f>
        <v>2020</v>
      </c>
      <c r="D24" s="163">
        <f>IF(F23+SUM(E$17:E23)=D$10,F23,D$10-SUM(E$17:E23))</f>
        <v>815036.1102564102</v>
      </c>
      <c r="E24" s="164">
        <f t="shared" si="5"/>
        <v>23012.266666666666</v>
      </c>
      <c r="F24" s="163">
        <f t="shared" si="8"/>
        <v>792023.84358974348</v>
      </c>
      <c r="G24" s="165">
        <f t="shared" si="9"/>
        <v>130201.26666666666</v>
      </c>
      <c r="H24" s="147">
        <f t="shared" si="10"/>
        <v>130201.26666666666</v>
      </c>
      <c r="I24" s="160">
        <f t="shared" si="6"/>
        <v>0</v>
      </c>
      <c r="J24" s="160"/>
      <c r="K24" s="330"/>
      <c r="L24" s="162">
        <f t="shared" si="11"/>
        <v>0</v>
      </c>
      <c r="M24" s="330"/>
      <c r="N24" s="162">
        <f t="shared" si="12"/>
        <v>0</v>
      </c>
      <c r="O24" s="162">
        <f t="shared" si="13"/>
        <v>0</v>
      </c>
      <c r="P24" s="4"/>
    </row>
    <row r="25" spans="2:16">
      <c r="B25" s="9" t="str">
        <f t="shared" si="7"/>
        <v/>
      </c>
      <c r="C25" s="157">
        <f>IF(D11="","-",+C24+1)</f>
        <v>2021</v>
      </c>
      <c r="D25" s="163">
        <f>IF(F24+SUM(E$17:E24)=D$10,F24,D$10-SUM(E$17:E24))</f>
        <v>792023.84358974348</v>
      </c>
      <c r="E25" s="164">
        <f t="shared" si="5"/>
        <v>23012.266666666666</v>
      </c>
      <c r="F25" s="163">
        <f t="shared" si="8"/>
        <v>769011.57692307676</v>
      </c>
      <c r="G25" s="165">
        <f t="shared" si="9"/>
        <v>127086.26666666666</v>
      </c>
      <c r="H25" s="147">
        <f t="shared" si="10"/>
        <v>127086.26666666666</v>
      </c>
      <c r="I25" s="160">
        <f t="shared" si="6"/>
        <v>0</v>
      </c>
      <c r="J25" s="160"/>
      <c r="K25" s="330"/>
      <c r="L25" s="162">
        <f t="shared" si="11"/>
        <v>0</v>
      </c>
      <c r="M25" s="330"/>
      <c r="N25" s="162">
        <f t="shared" si="12"/>
        <v>0</v>
      </c>
      <c r="O25" s="162">
        <f t="shared" si="13"/>
        <v>0</v>
      </c>
      <c r="P25" s="4"/>
    </row>
    <row r="26" spans="2:16">
      <c r="B26" s="9" t="str">
        <f t="shared" si="7"/>
        <v/>
      </c>
      <c r="C26" s="157">
        <f>IF(D11="","-",+C25+1)</f>
        <v>2022</v>
      </c>
      <c r="D26" s="163">
        <f>IF(F25+SUM(E$17:E25)=D$10,F25,D$10-SUM(E$17:E25))</f>
        <v>769011.57692307676</v>
      </c>
      <c r="E26" s="164">
        <f t="shared" si="5"/>
        <v>23012.266666666666</v>
      </c>
      <c r="F26" s="163">
        <f t="shared" si="8"/>
        <v>745999.31025641004</v>
      </c>
      <c r="G26" s="165">
        <f t="shared" si="9"/>
        <v>123972.26666666666</v>
      </c>
      <c r="H26" s="147">
        <f t="shared" si="10"/>
        <v>123972.26666666666</v>
      </c>
      <c r="I26" s="160">
        <f t="shared" si="6"/>
        <v>0</v>
      </c>
      <c r="J26" s="160"/>
      <c r="K26" s="330"/>
      <c r="L26" s="162">
        <f t="shared" si="11"/>
        <v>0</v>
      </c>
      <c r="M26" s="330"/>
      <c r="N26" s="162">
        <f t="shared" si="12"/>
        <v>0</v>
      </c>
      <c r="O26" s="162">
        <f t="shared" si="13"/>
        <v>0</v>
      </c>
      <c r="P26" s="4"/>
    </row>
    <row r="27" spans="2:16">
      <c r="B27" s="9" t="str">
        <f t="shared" si="7"/>
        <v/>
      </c>
      <c r="C27" s="157">
        <f>IF(D11="","-",+C26+1)</f>
        <v>2023</v>
      </c>
      <c r="D27" s="163">
        <f>IF(F26+SUM(E$17:E26)=D$10,F26,D$10-SUM(E$17:E26))</f>
        <v>745999.31025641004</v>
      </c>
      <c r="E27" s="164">
        <f t="shared" si="5"/>
        <v>23012.266666666666</v>
      </c>
      <c r="F27" s="163">
        <f t="shared" si="8"/>
        <v>722987.04358974332</v>
      </c>
      <c r="G27" s="165">
        <f t="shared" si="9"/>
        <v>120858.26666666666</v>
      </c>
      <c r="H27" s="147">
        <f t="shared" si="10"/>
        <v>120858.26666666666</v>
      </c>
      <c r="I27" s="160">
        <f t="shared" si="6"/>
        <v>0</v>
      </c>
      <c r="J27" s="160"/>
      <c r="K27" s="330"/>
      <c r="L27" s="162">
        <f t="shared" si="11"/>
        <v>0</v>
      </c>
      <c r="M27" s="330"/>
      <c r="N27" s="162">
        <f t="shared" si="12"/>
        <v>0</v>
      </c>
      <c r="O27" s="162">
        <f t="shared" si="13"/>
        <v>0</v>
      </c>
      <c r="P27" s="4"/>
    </row>
    <row r="28" spans="2:16">
      <c r="B28" s="9" t="str">
        <f t="shared" si="7"/>
        <v/>
      </c>
      <c r="C28" s="157">
        <f>IF(D11="","-",+C27+1)</f>
        <v>2024</v>
      </c>
      <c r="D28" s="163">
        <f>IF(F27+SUM(E$17:E27)=D$10,F27,D$10-SUM(E$17:E27))</f>
        <v>722987.04358974332</v>
      </c>
      <c r="E28" s="164">
        <f t="shared" si="5"/>
        <v>23012.266666666666</v>
      </c>
      <c r="F28" s="163">
        <f t="shared" si="8"/>
        <v>699974.7769230766</v>
      </c>
      <c r="G28" s="165">
        <f t="shared" si="9"/>
        <v>117743.26666666666</v>
      </c>
      <c r="H28" s="147">
        <f t="shared" si="10"/>
        <v>117743.26666666666</v>
      </c>
      <c r="I28" s="160">
        <f t="shared" si="6"/>
        <v>0</v>
      </c>
      <c r="J28" s="160"/>
      <c r="K28" s="330"/>
      <c r="L28" s="162">
        <f t="shared" si="11"/>
        <v>0</v>
      </c>
      <c r="M28" s="330"/>
      <c r="N28" s="162">
        <f t="shared" si="12"/>
        <v>0</v>
      </c>
      <c r="O28" s="162">
        <f t="shared" si="13"/>
        <v>0</v>
      </c>
      <c r="P28" s="4"/>
    </row>
    <row r="29" spans="2:16">
      <c r="B29" s="9" t="str">
        <f t="shared" si="7"/>
        <v/>
      </c>
      <c r="C29" s="157">
        <f>IF(D11="","-",+C28+1)</f>
        <v>2025</v>
      </c>
      <c r="D29" s="163">
        <f>IF(F28+SUM(E$17:E28)=D$10,F28,D$10-SUM(E$17:E28))</f>
        <v>699974.7769230766</v>
      </c>
      <c r="E29" s="164">
        <f t="shared" si="5"/>
        <v>23012.266666666666</v>
      </c>
      <c r="F29" s="163">
        <f t="shared" si="8"/>
        <v>676962.51025640988</v>
      </c>
      <c r="G29" s="165">
        <f t="shared" si="9"/>
        <v>114629.26666666666</v>
      </c>
      <c r="H29" s="147">
        <f t="shared" si="10"/>
        <v>114629.26666666666</v>
      </c>
      <c r="I29" s="160">
        <f t="shared" si="6"/>
        <v>0</v>
      </c>
      <c r="J29" s="160"/>
      <c r="K29" s="330"/>
      <c r="L29" s="162">
        <f t="shared" si="11"/>
        <v>0</v>
      </c>
      <c r="M29" s="330"/>
      <c r="N29" s="162">
        <f t="shared" si="12"/>
        <v>0</v>
      </c>
      <c r="O29" s="162">
        <f t="shared" si="13"/>
        <v>0</v>
      </c>
      <c r="P29" s="4"/>
    </row>
    <row r="30" spans="2:16">
      <c r="B30" s="9" t="str">
        <f t="shared" si="7"/>
        <v/>
      </c>
      <c r="C30" s="157">
        <f>IF(D11="","-",+C29+1)</f>
        <v>2026</v>
      </c>
      <c r="D30" s="163">
        <f>IF(F29+SUM(E$17:E29)=D$10,F29,D$10-SUM(E$17:E29))</f>
        <v>676962.51025640988</v>
      </c>
      <c r="E30" s="164">
        <f t="shared" si="5"/>
        <v>23012.266666666666</v>
      </c>
      <c r="F30" s="163">
        <f t="shared" si="8"/>
        <v>653950.24358974316</v>
      </c>
      <c r="G30" s="165">
        <f t="shared" si="9"/>
        <v>111515.26666666666</v>
      </c>
      <c r="H30" s="147">
        <f t="shared" si="10"/>
        <v>111515.26666666666</v>
      </c>
      <c r="I30" s="160">
        <f t="shared" si="6"/>
        <v>0</v>
      </c>
      <c r="J30" s="160"/>
      <c r="K30" s="330"/>
      <c r="L30" s="162">
        <f t="shared" si="11"/>
        <v>0</v>
      </c>
      <c r="M30" s="330"/>
      <c r="N30" s="162">
        <f t="shared" si="12"/>
        <v>0</v>
      </c>
      <c r="O30" s="162">
        <f t="shared" si="13"/>
        <v>0</v>
      </c>
      <c r="P30" s="4"/>
    </row>
    <row r="31" spans="2:16">
      <c r="B31" s="9" t="str">
        <f t="shared" si="7"/>
        <v/>
      </c>
      <c r="C31" s="157">
        <f>IF(D11="","-",+C30+1)</f>
        <v>2027</v>
      </c>
      <c r="D31" s="163">
        <f>IF(F30+SUM(E$17:E30)=D$10,F30,D$10-SUM(E$17:E30))</f>
        <v>653950.24358974316</v>
      </c>
      <c r="E31" s="164">
        <f t="shared" si="5"/>
        <v>23012.266666666666</v>
      </c>
      <c r="F31" s="163">
        <f t="shared" si="8"/>
        <v>630937.97692307644</v>
      </c>
      <c r="G31" s="165">
        <f t="shared" si="9"/>
        <v>108400.26666666666</v>
      </c>
      <c r="H31" s="147">
        <f t="shared" si="10"/>
        <v>108400.26666666666</v>
      </c>
      <c r="I31" s="160">
        <f t="shared" si="6"/>
        <v>0</v>
      </c>
      <c r="J31" s="160"/>
      <c r="K31" s="330"/>
      <c r="L31" s="162">
        <f t="shared" si="11"/>
        <v>0</v>
      </c>
      <c r="M31" s="330"/>
      <c r="N31" s="162">
        <f t="shared" si="12"/>
        <v>0</v>
      </c>
      <c r="O31" s="162">
        <f t="shared" si="13"/>
        <v>0</v>
      </c>
      <c r="P31" s="4"/>
    </row>
    <row r="32" spans="2:16">
      <c r="B32" s="9" t="str">
        <f t="shared" si="7"/>
        <v/>
      </c>
      <c r="C32" s="157">
        <f>IF(D11="","-",+C31+1)</f>
        <v>2028</v>
      </c>
      <c r="D32" s="163">
        <f>IF(F31+SUM(E$17:E31)=D$10,F31,D$10-SUM(E$17:E31))</f>
        <v>630937.97692307644</v>
      </c>
      <c r="E32" s="164">
        <f t="shared" si="5"/>
        <v>23012.266666666666</v>
      </c>
      <c r="F32" s="163">
        <f t="shared" si="8"/>
        <v>607925.71025640971</v>
      </c>
      <c r="G32" s="165">
        <f t="shared" si="9"/>
        <v>105286.26666666666</v>
      </c>
      <c r="H32" s="147">
        <f t="shared" si="10"/>
        <v>105286.26666666666</v>
      </c>
      <c r="I32" s="160">
        <f t="shared" si="6"/>
        <v>0</v>
      </c>
      <c r="J32" s="160"/>
      <c r="K32" s="330"/>
      <c r="L32" s="162">
        <f t="shared" si="11"/>
        <v>0</v>
      </c>
      <c r="M32" s="330"/>
      <c r="N32" s="162">
        <f t="shared" si="12"/>
        <v>0</v>
      </c>
      <c r="O32" s="162">
        <f t="shared" si="13"/>
        <v>0</v>
      </c>
      <c r="P32" s="4"/>
    </row>
    <row r="33" spans="2:16">
      <c r="B33" s="9" t="str">
        <f t="shared" si="7"/>
        <v/>
      </c>
      <c r="C33" s="157">
        <f>IF(D11="","-",+C32+1)</f>
        <v>2029</v>
      </c>
      <c r="D33" s="163">
        <f>IF(F32+SUM(E$17:E32)=D$10,F32,D$10-SUM(E$17:E32))</f>
        <v>607925.71025640971</v>
      </c>
      <c r="E33" s="164">
        <f t="shared" si="5"/>
        <v>23012.266666666666</v>
      </c>
      <c r="F33" s="163">
        <f t="shared" si="8"/>
        <v>584913.44358974299</v>
      </c>
      <c r="G33" s="165">
        <f t="shared" si="9"/>
        <v>102172.26666666666</v>
      </c>
      <c r="H33" s="147">
        <f t="shared" si="10"/>
        <v>102172.26666666666</v>
      </c>
      <c r="I33" s="160">
        <f t="shared" si="6"/>
        <v>0</v>
      </c>
      <c r="J33" s="160"/>
      <c r="K33" s="330"/>
      <c r="L33" s="162">
        <f t="shared" si="11"/>
        <v>0</v>
      </c>
      <c r="M33" s="330"/>
      <c r="N33" s="162">
        <f t="shared" si="12"/>
        <v>0</v>
      </c>
      <c r="O33" s="162">
        <f t="shared" si="13"/>
        <v>0</v>
      </c>
      <c r="P33" s="4"/>
    </row>
    <row r="34" spans="2:16">
      <c r="B34" s="9" t="str">
        <f t="shared" si="7"/>
        <v/>
      </c>
      <c r="C34" s="157">
        <f>IF(D11="","-",+C33+1)</f>
        <v>2030</v>
      </c>
      <c r="D34" s="163">
        <f>IF(F33+SUM(E$17:E33)=D$10,F33,D$10-SUM(E$17:E33))</f>
        <v>584913.44358974299</v>
      </c>
      <c r="E34" s="164">
        <f t="shared" si="5"/>
        <v>23012.266666666666</v>
      </c>
      <c r="F34" s="163">
        <f t="shared" si="8"/>
        <v>561901.17692307627</v>
      </c>
      <c r="G34" s="165">
        <f t="shared" si="9"/>
        <v>99057.266666666663</v>
      </c>
      <c r="H34" s="147">
        <f t="shared" si="10"/>
        <v>99057.266666666663</v>
      </c>
      <c r="I34" s="160">
        <f t="shared" si="6"/>
        <v>0</v>
      </c>
      <c r="J34" s="160"/>
      <c r="K34" s="330"/>
      <c r="L34" s="162">
        <f t="shared" si="11"/>
        <v>0</v>
      </c>
      <c r="M34" s="330"/>
      <c r="N34" s="162">
        <f t="shared" si="12"/>
        <v>0</v>
      </c>
      <c r="O34" s="162">
        <f t="shared" si="13"/>
        <v>0</v>
      </c>
      <c r="P34" s="4"/>
    </row>
    <row r="35" spans="2:16">
      <c r="B35" s="9" t="str">
        <f t="shared" si="7"/>
        <v/>
      </c>
      <c r="C35" s="157">
        <f>IF(D11="","-",+C34+1)</f>
        <v>2031</v>
      </c>
      <c r="D35" s="163">
        <f>IF(F34+SUM(E$17:E34)=D$10,F34,D$10-SUM(E$17:E34))</f>
        <v>561901.17692307627</v>
      </c>
      <c r="E35" s="164">
        <f t="shared" si="5"/>
        <v>23012.266666666666</v>
      </c>
      <c r="F35" s="163">
        <f t="shared" si="8"/>
        <v>538888.91025640955</v>
      </c>
      <c r="G35" s="165">
        <f t="shared" si="9"/>
        <v>95943.266666666663</v>
      </c>
      <c r="H35" s="147">
        <f t="shared" si="10"/>
        <v>95943.266666666663</v>
      </c>
      <c r="I35" s="160">
        <f t="shared" si="6"/>
        <v>0</v>
      </c>
      <c r="J35" s="160"/>
      <c r="K35" s="330"/>
      <c r="L35" s="162">
        <f t="shared" si="11"/>
        <v>0</v>
      </c>
      <c r="M35" s="330"/>
      <c r="N35" s="162">
        <f t="shared" si="12"/>
        <v>0</v>
      </c>
      <c r="O35" s="162">
        <f t="shared" si="13"/>
        <v>0</v>
      </c>
      <c r="P35" s="4"/>
    </row>
    <row r="36" spans="2:16">
      <c r="B36" s="9" t="str">
        <f t="shared" si="7"/>
        <v/>
      </c>
      <c r="C36" s="157">
        <f>IF(D11="","-",+C35+1)</f>
        <v>2032</v>
      </c>
      <c r="D36" s="163">
        <f>IF(F35+SUM(E$17:E35)=D$10,F35,D$10-SUM(E$17:E35))</f>
        <v>538888.91025640955</v>
      </c>
      <c r="E36" s="164">
        <f t="shared" si="5"/>
        <v>23012.266666666666</v>
      </c>
      <c r="F36" s="163">
        <f t="shared" si="8"/>
        <v>515876.64358974289</v>
      </c>
      <c r="G36" s="165">
        <f t="shared" si="9"/>
        <v>92828.266666666663</v>
      </c>
      <c r="H36" s="147">
        <f t="shared" si="10"/>
        <v>92828.266666666663</v>
      </c>
      <c r="I36" s="160">
        <f t="shared" si="6"/>
        <v>0</v>
      </c>
      <c r="J36" s="160"/>
      <c r="K36" s="330"/>
      <c r="L36" s="162">
        <f t="shared" si="11"/>
        <v>0</v>
      </c>
      <c r="M36" s="330"/>
      <c r="N36" s="162">
        <f t="shared" si="12"/>
        <v>0</v>
      </c>
      <c r="O36" s="162">
        <f t="shared" si="13"/>
        <v>0</v>
      </c>
      <c r="P36" s="4"/>
    </row>
    <row r="37" spans="2:16">
      <c r="B37" s="9" t="str">
        <f t="shared" si="7"/>
        <v/>
      </c>
      <c r="C37" s="157">
        <f>IF(D11="","-",+C36+1)</f>
        <v>2033</v>
      </c>
      <c r="D37" s="163">
        <f>IF(F36+SUM(E$17:E36)=D$10,F36,D$10-SUM(E$17:E36))</f>
        <v>515876.64358974289</v>
      </c>
      <c r="E37" s="164">
        <f t="shared" si="5"/>
        <v>23012.266666666666</v>
      </c>
      <c r="F37" s="163">
        <f t="shared" si="8"/>
        <v>492864.37692307623</v>
      </c>
      <c r="G37" s="165">
        <f t="shared" si="9"/>
        <v>89714.266666666663</v>
      </c>
      <c r="H37" s="147">
        <f t="shared" si="10"/>
        <v>89714.266666666663</v>
      </c>
      <c r="I37" s="160">
        <f t="shared" si="6"/>
        <v>0</v>
      </c>
      <c r="J37" s="160"/>
      <c r="K37" s="330"/>
      <c r="L37" s="162">
        <f t="shared" si="11"/>
        <v>0</v>
      </c>
      <c r="M37" s="330"/>
      <c r="N37" s="162">
        <f t="shared" si="12"/>
        <v>0</v>
      </c>
      <c r="O37" s="162">
        <f t="shared" si="13"/>
        <v>0</v>
      </c>
      <c r="P37" s="4"/>
    </row>
    <row r="38" spans="2:16">
      <c r="B38" s="9" t="str">
        <f t="shared" si="7"/>
        <v/>
      </c>
      <c r="C38" s="157">
        <f>IF(D11="","-",+C37+1)</f>
        <v>2034</v>
      </c>
      <c r="D38" s="163">
        <f>IF(F37+SUM(E$17:E37)=D$10,F37,D$10-SUM(E$17:E37))</f>
        <v>492864.37692307623</v>
      </c>
      <c r="E38" s="164">
        <f t="shared" si="5"/>
        <v>23012.266666666666</v>
      </c>
      <c r="F38" s="163">
        <f t="shared" si="8"/>
        <v>469852.11025640956</v>
      </c>
      <c r="G38" s="165">
        <f t="shared" si="9"/>
        <v>86600.266666666663</v>
      </c>
      <c r="H38" s="147">
        <f t="shared" si="10"/>
        <v>86600.266666666663</v>
      </c>
      <c r="I38" s="160">
        <f t="shared" si="6"/>
        <v>0</v>
      </c>
      <c r="J38" s="160"/>
      <c r="K38" s="330"/>
      <c r="L38" s="162">
        <f t="shared" si="11"/>
        <v>0</v>
      </c>
      <c r="M38" s="330"/>
      <c r="N38" s="162">
        <f t="shared" si="12"/>
        <v>0</v>
      </c>
      <c r="O38" s="162">
        <f t="shared" si="13"/>
        <v>0</v>
      </c>
      <c r="P38" s="4"/>
    </row>
    <row r="39" spans="2:16">
      <c r="B39" s="9" t="str">
        <f t="shared" si="7"/>
        <v/>
      </c>
      <c r="C39" s="157">
        <f>IF(D11="","-",+C38+1)</f>
        <v>2035</v>
      </c>
      <c r="D39" s="163">
        <f>IF(F38+SUM(E$17:E38)=D$10,F38,D$10-SUM(E$17:E38))</f>
        <v>469852.11025640956</v>
      </c>
      <c r="E39" s="164">
        <f t="shared" si="5"/>
        <v>23012.266666666666</v>
      </c>
      <c r="F39" s="163">
        <f t="shared" si="8"/>
        <v>446839.8435897429</v>
      </c>
      <c r="G39" s="165">
        <f t="shared" si="9"/>
        <v>83485.266666666663</v>
      </c>
      <c r="H39" s="147">
        <f t="shared" si="10"/>
        <v>83485.266666666663</v>
      </c>
      <c r="I39" s="160">
        <f t="shared" si="6"/>
        <v>0</v>
      </c>
      <c r="J39" s="160"/>
      <c r="K39" s="330"/>
      <c r="L39" s="162">
        <f t="shared" si="11"/>
        <v>0</v>
      </c>
      <c r="M39" s="330"/>
      <c r="N39" s="162">
        <f t="shared" si="12"/>
        <v>0</v>
      </c>
      <c r="O39" s="162">
        <f t="shared" si="13"/>
        <v>0</v>
      </c>
      <c r="P39" s="4"/>
    </row>
    <row r="40" spans="2:16">
      <c r="B40" s="9" t="str">
        <f t="shared" si="7"/>
        <v/>
      </c>
      <c r="C40" s="157">
        <f>IF(D11="","-",+C39+1)</f>
        <v>2036</v>
      </c>
      <c r="D40" s="163">
        <f>IF(F39+SUM(E$17:E39)=D$10,F39,D$10-SUM(E$17:E39))</f>
        <v>446839.8435897429</v>
      </c>
      <c r="E40" s="164">
        <f t="shared" si="5"/>
        <v>23012.266666666666</v>
      </c>
      <c r="F40" s="163">
        <f t="shared" si="8"/>
        <v>423827.57692307624</v>
      </c>
      <c r="G40" s="165">
        <f t="shared" si="9"/>
        <v>80371.266666666663</v>
      </c>
      <c r="H40" s="147">
        <f t="shared" si="10"/>
        <v>80371.266666666663</v>
      </c>
      <c r="I40" s="160">
        <f t="shared" si="6"/>
        <v>0</v>
      </c>
      <c r="J40" s="160"/>
      <c r="K40" s="330"/>
      <c r="L40" s="162">
        <f t="shared" si="11"/>
        <v>0</v>
      </c>
      <c r="M40" s="330"/>
      <c r="N40" s="162">
        <f t="shared" si="12"/>
        <v>0</v>
      </c>
      <c r="O40" s="162">
        <f t="shared" si="13"/>
        <v>0</v>
      </c>
      <c r="P40" s="4"/>
    </row>
    <row r="41" spans="2:16">
      <c r="B41" s="9" t="str">
        <f t="shared" si="7"/>
        <v/>
      </c>
      <c r="C41" s="157">
        <f>IF(D11="","-",+C40+1)</f>
        <v>2037</v>
      </c>
      <c r="D41" s="163">
        <f>IF(F40+SUM(E$17:E40)=D$10,F40,D$10-SUM(E$17:E40))</f>
        <v>423827.57692307624</v>
      </c>
      <c r="E41" s="164">
        <f t="shared" si="5"/>
        <v>23012.266666666666</v>
      </c>
      <c r="F41" s="163">
        <f t="shared" si="8"/>
        <v>400815.31025640958</v>
      </c>
      <c r="G41" s="165">
        <f t="shared" si="9"/>
        <v>77257.266666666663</v>
      </c>
      <c r="H41" s="147">
        <f t="shared" si="10"/>
        <v>77257.266666666663</v>
      </c>
      <c r="I41" s="160">
        <f t="shared" si="6"/>
        <v>0</v>
      </c>
      <c r="J41" s="160"/>
      <c r="K41" s="330"/>
      <c r="L41" s="162">
        <f t="shared" si="11"/>
        <v>0</v>
      </c>
      <c r="M41" s="330"/>
      <c r="N41" s="162">
        <f t="shared" si="12"/>
        <v>0</v>
      </c>
      <c r="O41" s="162">
        <f t="shared" si="13"/>
        <v>0</v>
      </c>
      <c r="P41" s="4"/>
    </row>
    <row r="42" spans="2:16">
      <c r="B42" s="9" t="str">
        <f t="shared" si="7"/>
        <v/>
      </c>
      <c r="C42" s="157">
        <f>IF(D11="","-",+C41+1)</f>
        <v>2038</v>
      </c>
      <c r="D42" s="163">
        <f>IF(F41+SUM(E$17:E41)=D$10,F41,D$10-SUM(E$17:E41))</f>
        <v>400815.31025640958</v>
      </c>
      <c r="E42" s="164">
        <f t="shared" si="5"/>
        <v>23012.266666666666</v>
      </c>
      <c r="F42" s="163">
        <f t="shared" si="8"/>
        <v>377803.04358974291</v>
      </c>
      <c r="G42" s="165">
        <f t="shared" si="9"/>
        <v>74142.266666666663</v>
      </c>
      <c r="H42" s="147">
        <f t="shared" si="10"/>
        <v>74142.266666666663</v>
      </c>
      <c r="I42" s="160">
        <f t="shared" si="6"/>
        <v>0</v>
      </c>
      <c r="J42" s="160"/>
      <c r="K42" s="330"/>
      <c r="L42" s="162">
        <f t="shared" si="11"/>
        <v>0</v>
      </c>
      <c r="M42" s="330"/>
      <c r="N42" s="162">
        <f t="shared" si="12"/>
        <v>0</v>
      </c>
      <c r="O42" s="162">
        <f t="shared" si="13"/>
        <v>0</v>
      </c>
      <c r="P42" s="4"/>
    </row>
    <row r="43" spans="2:16">
      <c r="B43" s="9" t="str">
        <f t="shared" si="7"/>
        <v/>
      </c>
      <c r="C43" s="157">
        <f>IF(D11="","-",+C42+1)</f>
        <v>2039</v>
      </c>
      <c r="D43" s="163">
        <f>IF(F42+SUM(E$17:E42)=D$10,F42,D$10-SUM(E$17:E42))</f>
        <v>377803.04358974291</v>
      </c>
      <c r="E43" s="164">
        <f t="shared" si="5"/>
        <v>23012.266666666666</v>
      </c>
      <c r="F43" s="163">
        <f t="shared" si="8"/>
        <v>354790.77692307625</v>
      </c>
      <c r="G43" s="165">
        <f t="shared" si="9"/>
        <v>71028.266666666663</v>
      </c>
      <c r="H43" s="147">
        <f t="shared" si="10"/>
        <v>71028.266666666663</v>
      </c>
      <c r="I43" s="160">
        <f t="shared" si="6"/>
        <v>0</v>
      </c>
      <c r="J43" s="160"/>
      <c r="K43" s="330"/>
      <c r="L43" s="162">
        <f t="shared" si="11"/>
        <v>0</v>
      </c>
      <c r="M43" s="330"/>
      <c r="N43" s="162">
        <f t="shared" si="12"/>
        <v>0</v>
      </c>
      <c r="O43" s="162">
        <f t="shared" si="13"/>
        <v>0</v>
      </c>
      <c r="P43" s="4"/>
    </row>
    <row r="44" spans="2:16">
      <c r="B44" s="9" t="str">
        <f t="shared" si="7"/>
        <v/>
      </c>
      <c r="C44" s="157">
        <f>IF(D11="","-",+C43+1)</f>
        <v>2040</v>
      </c>
      <c r="D44" s="163">
        <f>IF(F43+SUM(E$17:E43)=D$10,F43,D$10-SUM(E$17:E43))</f>
        <v>354790.77692307625</v>
      </c>
      <c r="E44" s="164">
        <f t="shared" si="5"/>
        <v>23012.266666666666</v>
      </c>
      <c r="F44" s="163">
        <f t="shared" si="8"/>
        <v>331778.51025640959</v>
      </c>
      <c r="G44" s="165">
        <f t="shared" si="9"/>
        <v>67913.266666666663</v>
      </c>
      <c r="H44" s="147">
        <f t="shared" si="10"/>
        <v>67913.266666666663</v>
      </c>
      <c r="I44" s="160">
        <f t="shared" si="6"/>
        <v>0</v>
      </c>
      <c r="J44" s="160"/>
      <c r="K44" s="330"/>
      <c r="L44" s="162">
        <f t="shared" si="11"/>
        <v>0</v>
      </c>
      <c r="M44" s="330"/>
      <c r="N44" s="162">
        <f t="shared" si="12"/>
        <v>0</v>
      </c>
      <c r="O44" s="162">
        <f t="shared" si="13"/>
        <v>0</v>
      </c>
      <c r="P44" s="4"/>
    </row>
    <row r="45" spans="2:16">
      <c r="B45" s="9" t="str">
        <f t="shared" si="7"/>
        <v/>
      </c>
      <c r="C45" s="157">
        <f>IF(D11="","-",+C44+1)</f>
        <v>2041</v>
      </c>
      <c r="D45" s="163">
        <f>IF(F44+SUM(E$17:E44)=D$10,F44,D$10-SUM(E$17:E44))</f>
        <v>331778.51025640959</v>
      </c>
      <c r="E45" s="164">
        <f t="shared" si="5"/>
        <v>23012.266666666666</v>
      </c>
      <c r="F45" s="163">
        <f t="shared" si="8"/>
        <v>308766.24358974292</v>
      </c>
      <c r="G45" s="165">
        <f t="shared" si="9"/>
        <v>64799.266666666663</v>
      </c>
      <c r="H45" s="147">
        <f t="shared" si="10"/>
        <v>64799.266666666663</v>
      </c>
      <c r="I45" s="160">
        <f t="shared" si="6"/>
        <v>0</v>
      </c>
      <c r="J45" s="160"/>
      <c r="K45" s="330"/>
      <c r="L45" s="162">
        <f t="shared" si="11"/>
        <v>0</v>
      </c>
      <c r="M45" s="330"/>
      <c r="N45" s="162">
        <f t="shared" si="12"/>
        <v>0</v>
      </c>
      <c r="O45" s="162">
        <f t="shared" si="13"/>
        <v>0</v>
      </c>
      <c r="P45" s="4"/>
    </row>
    <row r="46" spans="2:16">
      <c r="B46" s="9" t="str">
        <f t="shared" si="7"/>
        <v/>
      </c>
      <c r="C46" s="157">
        <f>IF(D11="","-",+C45+1)</f>
        <v>2042</v>
      </c>
      <c r="D46" s="163">
        <f>IF(F45+SUM(E$17:E45)=D$10,F45,D$10-SUM(E$17:E45))</f>
        <v>308766.24358974292</v>
      </c>
      <c r="E46" s="164">
        <f t="shared" si="5"/>
        <v>23012.266666666666</v>
      </c>
      <c r="F46" s="163">
        <f t="shared" si="8"/>
        <v>285753.97692307626</v>
      </c>
      <c r="G46" s="165">
        <f t="shared" si="9"/>
        <v>61685.266666666663</v>
      </c>
      <c r="H46" s="147">
        <f t="shared" si="10"/>
        <v>61685.266666666663</v>
      </c>
      <c r="I46" s="160">
        <f t="shared" si="6"/>
        <v>0</v>
      </c>
      <c r="J46" s="160"/>
      <c r="K46" s="330"/>
      <c r="L46" s="162">
        <f t="shared" si="11"/>
        <v>0</v>
      </c>
      <c r="M46" s="330"/>
      <c r="N46" s="162">
        <f t="shared" si="12"/>
        <v>0</v>
      </c>
      <c r="O46" s="162">
        <f t="shared" si="13"/>
        <v>0</v>
      </c>
      <c r="P46" s="4"/>
    </row>
    <row r="47" spans="2:16">
      <c r="B47" s="9" t="str">
        <f t="shared" si="7"/>
        <v/>
      </c>
      <c r="C47" s="157">
        <f>IF(D11="","-",+C46+1)</f>
        <v>2043</v>
      </c>
      <c r="D47" s="163">
        <f>IF(F46+SUM(E$17:E46)=D$10,F46,D$10-SUM(E$17:E46))</f>
        <v>285753.97692307626</v>
      </c>
      <c r="E47" s="164">
        <f t="shared" si="5"/>
        <v>23012.266666666666</v>
      </c>
      <c r="F47" s="163">
        <f t="shared" si="8"/>
        <v>262741.7102564096</v>
      </c>
      <c r="G47" s="165">
        <f t="shared" si="9"/>
        <v>58570.266666666663</v>
      </c>
      <c r="H47" s="147">
        <f t="shared" si="10"/>
        <v>58570.266666666663</v>
      </c>
      <c r="I47" s="160">
        <f t="shared" si="6"/>
        <v>0</v>
      </c>
      <c r="J47" s="160"/>
      <c r="K47" s="330"/>
      <c r="L47" s="162">
        <f t="shared" si="11"/>
        <v>0</v>
      </c>
      <c r="M47" s="330"/>
      <c r="N47" s="162">
        <f t="shared" si="12"/>
        <v>0</v>
      </c>
      <c r="O47" s="162">
        <f t="shared" si="13"/>
        <v>0</v>
      </c>
      <c r="P47" s="4"/>
    </row>
    <row r="48" spans="2:16">
      <c r="B48" s="9" t="str">
        <f t="shared" si="7"/>
        <v/>
      </c>
      <c r="C48" s="157">
        <f>IF(D11="","-",+C47+1)</f>
        <v>2044</v>
      </c>
      <c r="D48" s="163">
        <f>IF(F47+SUM(E$17:E47)=D$10,F47,D$10-SUM(E$17:E47))</f>
        <v>262741.7102564096</v>
      </c>
      <c r="E48" s="164">
        <f t="shared" si="5"/>
        <v>23012.266666666666</v>
      </c>
      <c r="F48" s="163">
        <f t="shared" si="8"/>
        <v>239729.44358974294</v>
      </c>
      <c r="G48" s="165">
        <f t="shared" si="9"/>
        <v>55456.266666666663</v>
      </c>
      <c r="H48" s="147">
        <f t="shared" si="10"/>
        <v>55456.266666666663</v>
      </c>
      <c r="I48" s="160">
        <f t="shared" si="6"/>
        <v>0</v>
      </c>
      <c r="J48" s="160"/>
      <c r="K48" s="330"/>
      <c r="L48" s="162">
        <f t="shared" si="11"/>
        <v>0</v>
      </c>
      <c r="M48" s="330"/>
      <c r="N48" s="162">
        <f t="shared" si="12"/>
        <v>0</v>
      </c>
      <c r="O48" s="162">
        <f t="shared" si="13"/>
        <v>0</v>
      </c>
      <c r="P48" s="4"/>
    </row>
    <row r="49" spans="2:16">
      <c r="B49" s="9" t="str">
        <f t="shared" si="7"/>
        <v/>
      </c>
      <c r="C49" s="157">
        <f>IF(D11="","-",+C48+1)</f>
        <v>2045</v>
      </c>
      <c r="D49" s="163">
        <f>IF(F48+SUM(E$17:E48)=D$10,F48,D$10-SUM(E$17:E48))</f>
        <v>239729.44358974294</v>
      </c>
      <c r="E49" s="164">
        <f t="shared" si="5"/>
        <v>23012.266666666666</v>
      </c>
      <c r="F49" s="163">
        <f t="shared" si="8"/>
        <v>216717.17692307627</v>
      </c>
      <c r="G49" s="165">
        <f t="shared" si="9"/>
        <v>52342.266666666663</v>
      </c>
      <c r="H49" s="147">
        <f t="shared" si="10"/>
        <v>52342.266666666663</v>
      </c>
      <c r="I49" s="160">
        <f t="shared" si="6"/>
        <v>0</v>
      </c>
      <c r="J49" s="160"/>
      <c r="K49" s="330"/>
      <c r="L49" s="162">
        <f t="shared" si="11"/>
        <v>0</v>
      </c>
      <c r="M49" s="330"/>
      <c r="N49" s="162">
        <f t="shared" si="12"/>
        <v>0</v>
      </c>
      <c r="O49" s="162">
        <f t="shared" si="13"/>
        <v>0</v>
      </c>
      <c r="P49" s="4"/>
    </row>
    <row r="50" spans="2:16">
      <c r="B50" s="9" t="str">
        <f t="shared" si="7"/>
        <v/>
      </c>
      <c r="C50" s="157">
        <f>IF(D11="","-",+C49+1)</f>
        <v>2046</v>
      </c>
      <c r="D50" s="163">
        <f>IF(F49+SUM(E$17:E49)=D$10,F49,D$10-SUM(E$17:E49))</f>
        <v>216717.17692307627</v>
      </c>
      <c r="E50" s="164">
        <f t="shared" si="5"/>
        <v>23012.266666666666</v>
      </c>
      <c r="F50" s="163">
        <f t="shared" si="8"/>
        <v>193704.91025640961</v>
      </c>
      <c r="G50" s="165">
        <f t="shared" si="9"/>
        <v>49227.266666666663</v>
      </c>
      <c r="H50" s="147">
        <f t="shared" si="10"/>
        <v>49227.266666666663</v>
      </c>
      <c r="I50" s="160">
        <f t="shared" si="6"/>
        <v>0</v>
      </c>
      <c r="J50" s="160"/>
      <c r="K50" s="330"/>
      <c r="L50" s="162">
        <f t="shared" si="11"/>
        <v>0</v>
      </c>
      <c r="M50" s="330"/>
      <c r="N50" s="162">
        <f t="shared" si="12"/>
        <v>0</v>
      </c>
      <c r="O50" s="162">
        <f t="shared" si="13"/>
        <v>0</v>
      </c>
      <c r="P50" s="4"/>
    </row>
    <row r="51" spans="2:16">
      <c r="B51" s="9" t="str">
        <f t="shared" si="7"/>
        <v/>
      </c>
      <c r="C51" s="157">
        <f>IF(D11="","-",+C50+1)</f>
        <v>2047</v>
      </c>
      <c r="D51" s="163">
        <f>IF(F50+SUM(E$17:E50)=D$10,F50,D$10-SUM(E$17:E50))</f>
        <v>193704.91025640961</v>
      </c>
      <c r="E51" s="164">
        <f t="shared" si="5"/>
        <v>23012.266666666666</v>
      </c>
      <c r="F51" s="163">
        <f t="shared" si="8"/>
        <v>170692.64358974295</v>
      </c>
      <c r="G51" s="165">
        <f t="shared" si="9"/>
        <v>46113.266666666663</v>
      </c>
      <c r="H51" s="147">
        <f t="shared" si="10"/>
        <v>46113.266666666663</v>
      </c>
      <c r="I51" s="160">
        <f t="shared" si="6"/>
        <v>0</v>
      </c>
      <c r="J51" s="160"/>
      <c r="K51" s="330"/>
      <c r="L51" s="162">
        <f t="shared" si="11"/>
        <v>0</v>
      </c>
      <c r="M51" s="330"/>
      <c r="N51" s="162">
        <f t="shared" si="12"/>
        <v>0</v>
      </c>
      <c r="O51" s="162">
        <f t="shared" si="13"/>
        <v>0</v>
      </c>
      <c r="P51" s="4"/>
    </row>
    <row r="52" spans="2:16">
      <c r="B52" s="9" t="str">
        <f t="shared" si="7"/>
        <v/>
      </c>
      <c r="C52" s="157">
        <f>IF(D11="","-",+C51+1)</f>
        <v>2048</v>
      </c>
      <c r="D52" s="163">
        <f>IF(F51+SUM(E$17:E51)=D$10,F51,D$10-SUM(E$17:E51))</f>
        <v>170692.64358974295</v>
      </c>
      <c r="E52" s="164">
        <f t="shared" si="5"/>
        <v>23012.266666666666</v>
      </c>
      <c r="F52" s="163">
        <f t="shared" si="8"/>
        <v>147680.37692307628</v>
      </c>
      <c r="G52" s="165">
        <f t="shared" si="9"/>
        <v>42998.266666666663</v>
      </c>
      <c r="H52" s="147">
        <f t="shared" si="10"/>
        <v>42998.266666666663</v>
      </c>
      <c r="I52" s="160">
        <f t="shared" si="6"/>
        <v>0</v>
      </c>
      <c r="J52" s="160"/>
      <c r="K52" s="330"/>
      <c r="L52" s="162">
        <f t="shared" si="11"/>
        <v>0</v>
      </c>
      <c r="M52" s="330"/>
      <c r="N52" s="162">
        <f t="shared" si="12"/>
        <v>0</v>
      </c>
      <c r="O52" s="162">
        <f t="shared" si="13"/>
        <v>0</v>
      </c>
      <c r="P52" s="4"/>
    </row>
    <row r="53" spans="2:16">
      <c r="B53" s="9" t="str">
        <f t="shared" si="7"/>
        <v/>
      </c>
      <c r="C53" s="157">
        <f>IF(D11="","-",+C52+1)</f>
        <v>2049</v>
      </c>
      <c r="D53" s="163">
        <f>IF(F52+SUM(E$17:E52)=D$10,F52,D$10-SUM(E$17:E52))</f>
        <v>147680.37692307628</v>
      </c>
      <c r="E53" s="164">
        <f t="shared" si="5"/>
        <v>23012.266666666666</v>
      </c>
      <c r="F53" s="163">
        <f t="shared" si="8"/>
        <v>124668.11025640962</v>
      </c>
      <c r="G53" s="165">
        <f t="shared" si="9"/>
        <v>39884.266666666663</v>
      </c>
      <c r="H53" s="147">
        <f t="shared" si="10"/>
        <v>39884.266666666663</v>
      </c>
      <c r="I53" s="160">
        <f t="shared" si="6"/>
        <v>0</v>
      </c>
      <c r="J53" s="160"/>
      <c r="K53" s="330"/>
      <c r="L53" s="162">
        <f t="shared" si="11"/>
        <v>0</v>
      </c>
      <c r="M53" s="330"/>
      <c r="N53" s="162">
        <f t="shared" si="12"/>
        <v>0</v>
      </c>
      <c r="O53" s="162">
        <f t="shared" si="13"/>
        <v>0</v>
      </c>
      <c r="P53" s="4"/>
    </row>
    <row r="54" spans="2:16">
      <c r="B54" s="9" t="str">
        <f t="shared" si="7"/>
        <v/>
      </c>
      <c r="C54" s="157">
        <f>IF(D11="","-",+C53+1)</f>
        <v>2050</v>
      </c>
      <c r="D54" s="163">
        <f>IF(F53+SUM(E$17:E53)=D$10,F53,D$10-SUM(E$17:E53))</f>
        <v>124668.11025640962</v>
      </c>
      <c r="E54" s="164">
        <f t="shared" si="5"/>
        <v>23012.266666666666</v>
      </c>
      <c r="F54" s="163">
        <f t="shared" si="8"/>
        <v>101655.84358974296</v>
      </c>
      <c r="G54" s="165">
        <f t="shared" si="9"/>
        <v>36770.266666666663</v>
      </c>
      <c r="H54" s="147">
        <f t="shared" si="10"/>
        <v>36770.266666666663</v>
      </c>
      <c r="I54" s="160">
        <f t="shared" si="6"/>
        <v>0</v>
      </c>
      <c r="J54" s="160"/>
      <c r="K54" s="330"/>
      <c r="L54" s="162">
        <f t="shared" si="11"/>
        <v>0</v>
      </c>
      <c r="M54" s="330"/>
      <c r="N54" s="162">
        <f t="shared" si="12"/>
        <v>0</v>
      </c>
      <c r="O54" s="162">
        <f t="shared" si="13"/>
        <v>0</v>
      </c>
      <c r="P54" s="4"/>
    </row>
    <row r="55" spans="2:16">
      <c r="B55" s="9" t="str">
        <f t="shared" si="7"/>
        <v/>
      </c>
      <c r="C55" s="157">
        <f>IF(D11="","-",+C54+1)</f>
        <v>2051</v>
      </c>
      <c r="D55" s="163">
        <f>IF(F54+SUM(E$17:E54)=D$10,F54,D$10-SUM(E$17:E54))</f>
        <v>101655.84358974296</v>
      </c>
      <c r="E55" s="164">
        <f t="shared" si="5"/>
        <v>23012.266666666666</v>
      </c>
      <c r="F55" s="163">
        <f t="shared" si="8"/>
        <v>78643.576923076296</v>
      </c>
      <c r="G55" s="165">
        <f t="shared" si="9"/>
        <v>33655.266666666663</v>
      </c>
      <c r="H55" s="147">
        <f t="shared" si="10"/>
        <v>33655.266666666663</v>
      </c>
      <c r="I55" s="160">
        <f t="shared" si="6"/>
        <v>0</v>
      </c>
      <c r="J55" s="160"/>
      <c r="K55" s="330"/>
      <c r="L55" s="162">
        <f t="shared" si="11"/>
        <v>0</v>
      </c>
      <c r="M55" s="330"/>
      <c r="N55" s="162">
        <f t="shared" si="12"/>
        <v>0</v>
      </c>
      <c r="O55" s="162">
        <f t="shared" si="13"/>
        <v>0</v>
      </c>
      <c r="P55" s="4"/>
    </row>
    <row r="56" spans="2:16">
      <c r="B56" s="9" t="str">
        <f t="shared" si="7"/>
        <v/>
      </c>
      <c r="C56" s="157">
        <f>IF(D11="","-",+C55+1)</f>
        <v>2052</v>
      </c>
      <c r="D56" s="163">
        <f>IF(F55+SUM(E$17:E55)=D$10,F55,D$10-SUM(E$17:E55))</f>
        <v>78643.576923076296</v>
      </c>
      <c r="E56" s="164">
        <f t="shared" si="5"/>
        <v>23012.266666666666</v>
      </c>
      <c r="F56" s="163">
        <f t="shared" si="8"/>
        <v>55631.310256409633</v>
      </c>
      <c r="G56" s="165">
        <f t="shared" si="9"/>
        <v>30541.266666666666</v>
      </c>
      <c r="H56" s="147">
        <f t="shared" si="10"/>
        <v>30541.266666666666</v>
      </c>
      <c r="I56" s="160">
        <f t="shared" si="6"/>
        <v>0</v>
      </c>
      <c r="J56" s="160"/>
      <c r="K56" s="330"/>
      <c r="L56" s="162">
        <f t="shared" si="11"/>
        <v>0</v>
      </c>
      <c r="M56" s="330"/>
      <c r="N56" s="162">
        <f t="shared" si="12"/>
        <v>0</v>
      </c>
      <c r="O56" s="162">
        <f t="shared" si="13"/>
        <v>0</v>
      </c>
      <c r="P56" s="4"/>
    </row>
    <row r="57" spans="2:16">
      <c r="B57" s="9" t="str">
        <f t="shared" si="7"/>
        <v/>
      </c>
      <c r="C57" s="157">
        <f>IF(D11="","-",+C56+1)</f>
        <v>2053</v>
      </c>
      <c r="D57" s="163">
        <f>IF(F56+SUM(E$17:E56)=D$10,F56,D$10-SUM(E$17:E56))</f>
        <v>55631.310256409633</v>
      </c>
      <c r="E57" s="164">
        <f t="shared" si="5"/>
        <v>23012.266666666666</v>
      </c>
      <c r="F57" s="163">
        <f t="shared" si="8"/>
        <v>32619.043589742967</v>
      </c>
      <c r="G57" s="165">
        <f t="shared" si="9"/>
        <v>27427.266666666666</v>
      </c>
      <c r="H57" s="147">
        <f t="shared" si="10"/>
        <v>27427.266666666666</v>
      </c>
      <c r="I57" s="160">
        <f t="shared" si="6"/>
        <v>0</v>
      </c>
      <c r="J57" s="160"/>
      <c r="K57" s="330"/>
      <c r="L57" s="162">
        <f t="shared" si="11"/>
        <v>0</v>
      </c>
      <c r="M57" s="330"/>
      <c r="N57" s="162">
        <f t="shared" si="12"/>
        <v>0</v>
      </c>
      <c r="O57" s="162">
        <f t="shared" si="13"/>
        <v>0</v>
      </c>
      <c r="P57" s="4"/>
    </row>
    <row r="58" spans="2:16">
      <c r="B58" s="9" t="str">
        <f t="shared" si="7"/>
        <v/>
      </c>
      <c r="C58" s="157">
        <f>IF(D11="","-",+C57+1)</f>
        <v>2054</v>
      </c>
      <c r="D58" s="163">
        <f>IF(F57+SUM(E$17:E57)=D$10,F57,D$10-SUM(E$17:E57))</f>
        <v>32619.043589742967</v>
      </c>
      <c r="E58" s="164">
        <f t="shared" si="5"/>
        <v>23012.266666666666</v>
      </c>
      <c r="F58" s="163">
        <f t="shared" si="8"/>
        <v>9606.7769230763006</v>
      </c>
      <c r="G58" s="165">
        <f t="shared" si="9"/>
        <v>24312.266666666666</v>
      </c>
      <c r="H58" s="147">
        <f t="shared" si="10"/>
        <v>24312.266666666666</v>
      </c>
      <c r="I58" s="160">
        <f t="shared" si="6"/>
        <v>0</v>
      </c>
      <c r="J58" s="160"/>
      <c r="K58" s="330"/>
      <c r="L58" s="162">
        <f t="shared" si="11"/>
        <v>0</v>
      </c>
      <c r="M58" s="330"/>
      <c r="N58" s="162">
        <f t="shared" si="12"/>
        <v>0</v>
      </c>
      <c r="O58" s="162">
        <f t="shared" si="13"/>
        <v>0</v>
      </c>
      <c r="P58" s="4"/>
    </row>
    <row r="59" spans="2:16">
      <c r="B59" s="9" t="str">
        <f t="shared" si="7"/>
        <v/>
      </c>
      <c r="C59" s="157">
        <f>IF(D11="","-",+C58+1)</f>
        <v>2055</v>
      </c>
      <c r="D59" s="163">
        <f>IF(F58+SUM(E$17:E58)=D$10,F58,D$10-SUM(E$17:E58))</f>
        <v>9606.7769230763006</v>
      </c>
      <c r="E59" s="164">
        <f t="shared" si="5"/>
        <v>9606.7769230763006</v>
      </c>
      <c r="F59" s="163">
        <f t="shared" si="8"/>
        <v>0</v>
      </c>
      <c r="G59" s="165">
        <f t="shared" si="9"/>
        <v>9606.7769230763006</v>
      </c>
      <c r="H59" s="147">
        <f t="shared" si="10"/>
        <v>9606.7769230763006</v>
      </c>
      <c r="I59" s="160">
        <f t="shared" si="6"/>
        <v>0</v>
      </c>
      <c r="J59" s="160"/>
      <c r="K59" s="330"/>
      <c r="L59" s="162">
        <f t="shared" si="11"/>
        <v>0</v>
      </c>
      <c r="M59" s="330"/>
      <c r="N59" s="162">
        <f t="shared" si="12"/>
        <v>0</v>
      </c>
      <c r="O59" s="162">
        <f t="shared" si="13"/>
        <v>0</v>
      </c>
      <c r="P59" s="4"/>
    </row>
    <row r="60" spans="2:16">
      <c r="B60" s="9" t="str">
        <f t="shared" si="7"/>
        <v/>
      </c>
      <c r="C60" s="157">
        <f>IF(D11="","-",+C59+1)</f>
        <v>2056</v>
      </c>
      <c r="D60" s="163">
        <f>IF(F59+SUM(E$17:E59)=D$10,F59,D$10-SUM(E$17:E59))</f>
        <v>0</v>
      </c>
      <c r="E60" s="164">
        <f t="shared" si="5"/>
        <v>0</v>
      </c>
      <c r="F60" s="163">
        <f t="shared" si="8"/>
        <v>0</v>
      </c>
      <c r="G60" s="165">
        <f t="shared" si="9"/>
        <v>0</v>
      </c>
      <c r="H60" s="147">
        <f t="shared" si="10"/>
        <v>0</v>
      </c>
      <c r="I60" s="160">
        <f t="shared" si="6"/>
        <v>0</v>
      </c>
      <c r="J60" s="160"/>
      <c r="K60" s="330"/>
      <c r="L60" s="162">
        <f t="shared" si="11"/>
        <v>0</v>
      </c>
      <c r="M60" s="330"/>
      <c r="N60" s="162">
        <f t="shared" si="12"/>
        <v>0</v>
      </c>
      <c r="O60" s="162">
        <f t="shared" si="13"/>
        <v>0</v>
      </c>
      <c r="P60" s="4"/>
    </row>
    <row r="61" spans="2:16">
      <c r="B61" s="9" t="str">
        <f t="shared" si="7"/>
        <v/>
      </c>
      <c r="C61" s="157">
        <f>IF(D11="","-",+C60+1)</f>
        <v>2057</v>
      </c>
      <c r="D61" s="163">
        <f>IF(F60+SUM(E$17:E60)=D$10,F60,D$10-SUM(E$17:E60))</f>
        <v>0</v>
      </c>
      <c r="E61" s="164">
        <f t="shared" si="5"/>
        <v>0</v>
      </c>
      <c r="F61" s="163">
        <f t="shared" si="8"/>
        <v>0</v>
      </c>
      <c r="G61" s="165">
        <f t="shared" si="9"/>
        <v>0</v>
      </c>
      <c r="H61" s="147">
        <f t="shared" si="10"/>
        <v>0</v>
      </c>
      <c r="I61" s="160">
        <f t="shared" si="6"/>
        <v>0</v>
      </c>
      <c r="J61" s="160"/>
      <c r="K61" s="330"/>
      <c r="L61" s="162">
        <f t="shared" si="11"/>
        <v>0</v>
      </c>
      <c r="M61" s="330"/>
      <c r="N61" s="162">
        <f t="shared" si="12"/>
        <v>0</v>
      </c>
      <c r="O61" s="162">
        <f t="shared" si="13"/>
        <v>0</v>
      </c>
      <c r="P61" s="4"/>
    </row>
    <row r="62" spans="2:16">
      <c r="B62" s="9" t="str">
        <f t="shared" si="7"/>
        <v/>
      </c>
      <c r="C62" s="157">
        <f>IF(D11="","-",+C61+1)</f>
        <v>2058</v>
      </c>
      <c r="D62" s="163">
        <f>IF(F61+SUM(E$17:E61)=D$10,F61,D$10-SUM(E$17:E61))</f>
        <v>0</v>
      </c>
      <c r="E62" s="164">
        <f t="shared" si="5"/>
        <v>0</v>
      </c>
      <c r="F62" s="163">
        <f t="shared" si="8"/>
        <v>0</v>
      </c>
      <c r="G62" s="165">
        <f t="shared" si="9"/>
        <v>0</v>
      </c>
      <c r="H62" s="147">
        <f t="shared" si="10"/>
        <v>0</v>
      </c>
      <c r="I62" s="160">
        <f t="shared" si="6"/>
        <v>0</v>
      </c>
      <c r="J62" s="160"/>
      <c r="K62" s="330"/>
      <c r="L62" s="162">
        <f t="shared" si="11"/>
        <v>0</v>
      </c>
      <c r="M62" s="330"/>
      <c r="N62" s="162">
        <f t="shared" si="12"/>
        <v>0</v>
      </c>
      <c r="O62" s="162">
        <f t="shared" si="13"/>
        <v>0</v>
      </c>
      <c r="P62" s="4"/>
    </row>
    <row r="63" spans="2:16">
      <c r="B63" s="9" t="str">
        <f t="shared" si="7"/>
        <v/>
      </c>
      <c r="C63" s="157">
        <f>IF(D11="","-",+C62+1)</f>
        <v>2059</v>
      </c>
      <c r="D63" s="163">
        <f>IF(F62+SUM(E$17:E62)=D$10,F62,D$10-SUM(E$17:E62))</f>
        <v>0</v>
      </c>
      <c r="E63" s="164">
        <f t="shared" si="5"/>
        <v>0</v>
      </c>
      <c r="F63" s="163">
        <f t="shared" si="8"/>
        <v>0</v>
      </c>
      <c r="G63" s="165">
        <f t="shared" si="9"/>
        <v>0</v>
      </c>
      <c r="H63" s="147">
        <f t="shared" si="10"/>
        <v>0</v>
      </c>
      <c r="I63" s="160">
        <f t="shared" si="6"/>
        <v>0</v>
      </c>
      <c r="J63" s="160"/>
      <c r="K63" s="330"/>
      <c r="L63" s="162">
        <f t="shared" si="11"/>
        <v>0</v>
      </c>
      <c r="M63" s="330"/>
      <c r="N63" s="162">
        <f t="shared" si="12"/>
        <v>0</v>
      </c>
      <c r="O63" s="162">
        <f t="shared" si="13"/>
        <v>0</v>
      </c>
      <c r="P63" s="4"/>
    </row>
    <row r="64" spans="2:16">
      <c r="B64" s="9" t="str">
        <f t="shared" si="7"/>
        <v/>
      </c>
      <c r="C64" s="157">
        <f>IF(D11="","-",+C63+1)</f>
        <v>2060</v>
      </c>
      <c r="D64" s="163">
        <f>IF(F63+SUM(E$17:E63)=D$10,F63,D$10-SUM(E$17:E63))</f>
        <v>0</v>
      </c>
      <c r="E64" s="164">
        <f t="shared" si="5"/>
        <v>0</v>
      </c>
      <c r="F64" s="163">
        <f t="shared" si="8"/>
        <v>0</v>
      </c>
      <c r="G64" s="165">
        <f t="shared" si="9"/>
        <v>0</v>
      </c>
      <c r="H64" s="147">
        <f t="shared" si="10"/>
        <v>0</v>
      </c>
      <c r="I64" s="160">
        <f t="shared" si="6"/>
        <v>0</v>
      </c>
      <c r="J64" s="160"/>
      <c r="K64" s="330"/>
      <c r="L64" s="162">
        <f t="shared" si="11"/>
        <v>0</v>
      </c>
      <c r="M64" s="330"/>
      <c r="N64" s="162">
        <f t="shared" si="12"/>
        <v>0</v>
      </c>
      <c r="O64" s="162">
        <f t="shared" si="13"/>
        <v>0</v>
      </c>
      <c r="P64" s="4"/>
    </row>
    <row r="65" spans="2:16">
      <c r="B65" s="9" t="str">
        <f t="shared" si="7"/>
        <v/>
      </c>
      <c r="C65" s="157">
        <f>IF(D11="","-",+C64+1)</f>
        <v>2061</v>
      </c>
      <c r="D65" s="163">
        <f>IF(F64+SUM(E$17:E64)=D$10,F64,D$10-SUM(E$17:E64))</f>
        <v>0</v>
      </c>
      <c r="E65" s="164">
        <f t="shared" si="5"/>
        <v>0</v>
      </c>
      <c r="F65" s="163">
        <f t="shared" si="8"/>
        <v>0</v>
      </c>
      <c r="G65" s="165">
        <f t="shared" si="9"/>
        <v>0</v>
      </c>
      <c r="H65" s="147">
        <f t="shared" si="10"/>
        <v>0</v>
      </c>
      <c r="I65" s="160">
        <f t="shared" si="6"/>
        <v>0</v>
      </c>
      <c r="J65" s="160"/>
      <c r="K65" s="330"/>
      <c r="L65" s="162">
        <f t="shared" si="11"/>
        <v>0</v>
      </c>
      <c r="M65" s="330"/>
      <c r="N65" s="162">
        <f t="shared" si="12"/>
        <v>0</v>
      </c>
      <c r="O65" s="162">
        <f t="shared" si="13"/>
        <v>0</v>
      </c>
      <c r="P65" s="4"/>
    </row>
    <row r="66" spans="2:16">
      <c r="B66" s="9" t="str">
        <f t="shared" si="7"/>
        <v/>
      </c>
      <c r="C66" s="157">
        <f>IF(D11="","-",+C65+1)</f>
        <v>2062</v>
      </c>
      <c r="D66" s="163">
        <f>IF(F65+SUM(E$17:E65)=D$10,F65,D$10-SUM(E$17:E65))</f>
        <v>0</v>
      </c>
      <c r="E66" s="164">
        <f t="shared" si="5"/>
        <v>0</v>
      </c>
      <c r="F66" s="163">
        <f t="shared" si="8"/>
        <v>0</v>
      </c>
      <c r="G66" s="165">
        <f t="shared" si="9"/>
        <v>0</v>
      </c>
      <c r="H66" s="147">
        <f t="shared" si="10"/>
        <v>0</v>
      </c>
      <c r="I66" s="160">
        <f t="shared" si="6"/>
        <v>0</v>
      </c>
      <c r="J66" s="160"/>
      <c r="K66" s="330"/>
      <c r="L66" s="162">
        <f t="shared" si="11"/>
        <v>0</v>
      </c>
      <c r="M66" s="330"/>
      <c r="N66" s="162">
        <f t="shared" si="12"/>
        <v>0</v>
      </c>
      <c r="O66" s="162">
        <f t="shared" si="13"/>
        <v>0</v>
      </c>
      <c r="P66" s="4"/>
    </row>
    <row r="67" spans="2:16">
      <c r="B67" s="9" t="str">
        <f t="shared" si="7"/>
        <v/>
      </c>
      <c r="C67" s="157">
        <f>IF(D11="","-",+C66+1)</f>
        <v>2063</v>
      </c>
      <c r="D67" s="163">
        <f>IF(F66+SUM(E$17:E66)=D$10,F66,D$10-SUM(E$17:E66))</f>
        <v>0</v>
      </c>
      <c r="E67" s="164">
        <f t="shared" si="5"/>
        <v>0</v>
      </c>
      <c r="F67" s="163">
        <f t="shared" si="8"/>
        <v>0</v>
      </c>
      <c r="G67" s="165">
        <f t="shared" si="9"/>
        <v>0</v>
      </c>
      <c r="H67" s="147">
        <f t="shared" si="10"/>
        <v>0</v>
      </c>
      <c r="I67" s="160">
        <f t="shared" si="6"/>
        <v>0</v>
      </c>
      <c r="J67" s="160"/>
      <c r="K67" s="330"/>
      <c r="L67" s="162">
        <f t="shared" si="11"/>
        <v>0</v>
      </c>
      <c r="M67" s="330"/>
      <c r="N67" s="162">
        <f t="shared" si="12"/>
        <v>0</v>
      </c>
      <c r="O67" s="162">
        <f t="shared" si="13"/>
        <v>0</v>
      </c>
      <c r="P67" s="4"/>
    </row>
    <row r="68" spans="2:16">
      <c r="B68" s="9" t="str">
        <f t="shared" si="7"/>
        <v/>
      </c>
      <c r="C68" s="157">
        <f>IF(D11="","-",+C67+1)</f>
        <v>2064</v>
      </c>
      <c r="D68" s="163">
        <f>IF(F67+SUM(E$17:E67)=D$10,F67,D$10-SUM(E$17:E67))</f>
        <v>0</v>
      </c>
      <c r="E68" s="164">
        <f t="shared" si="5"/>
        <v>0</v>
      </c>
      <c r="F68" s="163">
        <f t="shared" si="8"/>
        <v>0</v>
      </c>
      <c r="G68" s="165">
        <f t="shared" si="9"/>
        <v>0</v>
      </c>
      <c r="H68" s="147">
        <f t="shared" si="10"/>
        <v>0</v>
      </c>
      <c r="I68" s="160">
        <f t="shared" si="6"/>
        <v>0</v>
      </c>
      <c r="J68" s="160"/>
      <c r="K68" s="330"/>
      <c r="L68" s="162">
        <f t="shared" si="11"/>
        <v>0</v>
      </c>
      <c r="M68" s="330"/>
      <c r="N68" s="162">
        <f t="shared" si="12"/>
        <v>0</v>
      </c>
      <c r="O68" s="162">
        <f t="shared" si="13"/>
        <v>0</v>
      </c>
      <c r="P68" s="4"/>
    </row>
    <row r="69" spans="2:16">
      <c r="B69" s="9" t="str">
        <f t="shared" si="7"/>
        <v/>
      </c>
      <c r="C69" s="157">
        <f>IF(D11="","-",+C68+1)</f>
        <v>2065</v>
      </c>
      <c r="D69" s="163">
        <f>IF(F68+SUM(E$17:E68)=D$10,F68,D$10-SUM(E$17:E68))</f>
        <v>0</v>
      </c>
      <c r="E69" s="164">
        <f t="shared" si="5"/>
        <v>0</v>
      </c>
      <c r="F69" s="163">
        <f t="shared" si="8"/>
        <v>0</v>
      </c>
      <c r="G69" s="165">
        <f t="shared" si="9"/>
        <v>0</v>
      </c>
      <c r="H69" s="147">
        <f t="shared" si="10"/>
        <v>0</v>
      </c>
      <c r="I69" s="160">
        <f t="shared" si="6"/>
        <v>0</v>
      </c>
      <c r="J69" s="160"/>
      <c r="K69" s="330"/>
      <c r="L69" s="162">
        <f t="shared" si="11"/>
        <v>0</v>
      </c>
      <c r="M69" s="330"/>
      <c r="N69" s="162">
        <f t="shared" si="12"/>
        <v>0</v>
      </c>
      <c r="O69" s="162">
        <f t="shared" si="13"/>
        <v>0</v>
      </c>
      <c r="P69" s="4"/>
    </row>
    <row r="70" spans="2:16">
      <c r="B70" s="9" t="str">
        <f t="shared" si="7"/>
        <v/>
      </c>
      <c r="C70" s="157">
        <f>IF(D11="","-",+C69+1)</f>
        <v>2066</v>
      </c>
      <c r="D70" s="163">
        <f>IF(F69+SUM(E$17:E69)=D$10,F69,D$10-SUM(E$17:E69))</f>
        <v>0</v>
      </c>
      <c r="E70" s="164">
        <f t="shared" si="5"/>
        <v>0</v>
      </c>
      <c r="F70" s="163">
        <f t="shared" si="8"/>
        <v>0</v>
      </c>
      <c r="G70" s="165">
        <f t="shared" si="9"/>
        <v>0</v>
      </c>
      <c r="H70" s="147">
        <f t="shared" si="10"/>
        <v>0</v>
      </c>
      <c r="I70" s="160">
        <f t="shared" si="6"/>
        <v>0</v>
      </c>
      <c r="J70" s="160"/>
      <c r="K70" s="330"/>
      <c r="L70" s="162">
        <f t="shared" si="11"/>
        <v>0</v>
      </c>
      <c r="M70" s="330"/>
      <c r="N70" s="162">
        <f t="shared" si="12"/>
        <v>0</v>
      </c>
      <c r="O70" s="162">
        <f t="shared" si="13"/>
        <v>0</v>
      </c>
      <c r="P70" s="4"/>
    </row>
    <row r="71" spans="2:16">
      <c r="B71" s="9" t="str">
        <f t="shared" si="7"/>
        <v/>
      </c>
      <c r="C71" s="157">
        <f>IF(D11="","-",+C70+1)</f>
        <v>2067</v>
      </c>
      <c r="D71" s="163">
        <f>IF(F70+SUM(E$17:E70)=D$10,F70,D$10-SUM(E$17:E70))</f>
        <v>0</v>
      </c>
      <c r="E71" s="164">
        <f t="shared" si="5"/>
        <v>0</v>
      </c>
      <c r="F71" s="163">
        <f t="shared" si="8"/>
        <v>0</v>
      </c>
      <c r="G71" s="165">
        <f t="shared" si="9"/>
        <v>0</v>
      </c>
      <c r="H71" s="147">
        <f t="shared" si="10"/>
        <v>0</v>
      </c>
      <c r="I71" s="160">
        <f t="shared" si="6"/>
        <v>0</v>
      </c>
      <c r="J71" s="160"/>
      <c r="K71" s="330"/>
      <c r="L71" s="162">
        <f t="shared" si="11"/>
        <v>0</v>
      </c>
      <c r="M71" s="330"/>
      <c r="N71" s="162">
        <f t="shared" si="12"/>
        <v>0</v>
      </c>
      <c r="O71" s="162">
        <f t="shared" si="13"/>
        <v>0</v>
      </c>
      <c r="P71" s="4"/>
    </row>
    <row r="72" spans="2:16" ht="13.5" thickBot="1">
      <c r="B72" s="9" t="str">
        <f t="shared" si="7"/>
        <v/>
      </c>
      <c r="C72" s="168">
        <f>IF(D11="","-",+C71+1)</f>
        <v>2068</v>
      </c>
      <c r="D72" s="163">
        <f>IF(F71+SUM(E$17:E71)=D$10,F71,D$10-SUM(E$17:E71))</f>
        <v>0</v>
      </c>
      <c r="E72" s="164">
        <f t="shared" si="5"/>
        <v>0</v>
      </c>
      <c r="F72" s="163">
        <f t="shared" si="8"/>
        <v>0</v>
      </c>
      <c r="G72" s="165">
        <f t="shared" si="9"/>
        <v>0</v>
      </c>
      <c r="H72" s="147">
        <f t="shared" si="10"/>
        <v>0</v>
      </c>
      <c r="I72" s="160">
        <f t="shared" si="6"/>
        <v>0</v>
      </c>
      <c r="J72" s="160"/>
      <c r="K72" s="331"/>
      <c r="L72" s="173">
        <f t="shared" si="11"/>
        <v>0</v>
      </c>
      <c r="M72" s="331"/>
      <c r="N72" s="173">
        <f t="shared" si="12"/>
        <v>0</v>
      </c>
      <c r="O72" s="173">
        <f t="shared" si="13"/>
        <v>0</v>
      </c>
      <c r="P72" s="4"/>
    </row>
    <row r="73" spans="2:16">
      <c r="C73" s="158" t="s">
        <v>77</v>
      </c>
      <c r="D73" s="115"/>
      <c r="E73" s="115">
        <f>SUM(E17:E72)</f>
        <v>1035552.0000000005</v>
      </c>
      <c r="F73" s="115"/>
      <c r="G73" s="115">
        <f>SUM(G17:G72)</f>
        <v>5662150.1678985897</v>
      </c>
      <c r="H73" s="115">
        <f>SUM(H17:H72)</f>
        <v>5662150.1678985897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14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136430.26666666666</v>
      </c>
      <c r="N87" s="202">
        <f>IF(J92&lt;D11,0,VLOOKUP(J92,C17:O72,11))</f>
        <v>136430.26666666666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118811.71632291189</v>
      </c>
      <c r="N88" s="204">
        <f>IF(J92&lt;D11,0,VLOOKUP(J92,C99:P154,7))</f>
        <v>118811.71632291189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Ashdown West - Craig Junction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-17618.550343754774</v>
      </c>
      <c r="N89" s="207">
        <f>+N88-N87</f>
        <v>-17618.550343754774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TP2009092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f>+D10</f>
        <v>1035552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434" t="s">
        <v>271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+D12</f>
        <v>2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24083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 t="str">
        <f>IF(D93= "","-",D93)</f>
        <v>2013</v>
      </c>
      <c r="D99" s="413">
        <v>0</v>
      </c>
      <c r="E99" s="414">
        <v>16595</v>
      </c>
      <c r="F99" s="415">
        <v>1018741</v>
      </c>
      <c r="G99" s="425">
        <v>509371</v>
      </c>
      <c r="H99" s="426">
        <v>89910</v>
      </c>
      <c r="I99" s="427">
        <v>89910</v>
      </c>
      <c r="J99" s="162">
        <v>0</v>
      </c>
      <c r="K99" s="162"/>
      <c r="L99" s="333">
        <f>H99</f>
        <v>89910</v>
      </c>
      <c r="M99" s="175">
        <f>IF(L99&lt;&gt;0,+H99-L99,0)</f>
        <v>0</v>
      </c>
      <c r="N99" s="333">
        <f>I99</f>
        <v>89910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2014</v>
      </c>
      <c r="D100" s="413">
        <v>1018957</v>
      </c>
      <c r="E100" s="414">
        <v>19914</v>
      </c>
      <c r="F100" s="415">
        <v>999043</v>
      </c>
      <c r="G100" s="415">
        <v>1009000</v>
      </c>
      <c r="H100" s="414">
        <v>161775</v>
      </c>
      <c r="I100" s="416">
        <v>161775</v>
      </c>
      <c r="J100" s="162">
        <f>+I100-H100</f>
        <v>0</v>
      </c>
      <c r="K100" s="162"/>
      <c r="L100" s="333">
        <f>H100</f>
        <v>161775</v>
      </c>
      <c r="M100" s="175">
        <f>IF(L100&lt;&gt;0,+H100-L100,0)</f>
        <v>0</v>
      </c>
      <c r="N100" s="333">
        <f>I100</f>
        <v>161775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14">IF(D101=F100,"","IU")</f>
        <v/>
      </c>
      <c r="C101" s="157">
        <f>IF(D93="","-",+C100+1)</f>
        <v>2015</v>
      </c>
      <c r="D101" s="413">
        <v>999043</v>
      </c>
      <c r="E101" s="414">
        <v>19914</v>
      </c>
      <c r="F101" s="415">
        <v>979129</v>
      </c>
      <c r="G101" s="415">
        <v>989086</v>
      </c>
      <c r="H101" s="414">
        <v>154866.83205665913</v>
      </c>
      <c r="I101" s="416">
        <v>154866.83205665913</v>
      </c>
      <c r="J101" s="162">
        <f>+I101-H101</f>
        <v>0</v>
      </c>
      <c r="K101" s="162"/>
      <c r="L101" s="333">
        <f>H101</f>
        <v>154866.83205665913</v>
      </c>
      <c r="M101" s="175">
        <f>IF(L101&lt;&gt;0,+H101-L101,0)</f>
        <v>0</v>
      </c>
      <c r="N101" s="333">
        <f>I101</f>
        <v>154866.83205665913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4"/>
        <v/>
      </c>
      <c r="C102" s="157">
        <f>IF(D93="","-",+C101+1)</f>
        <v>2016</v>
      </c>
      <c r="D102" s="413">
        <v>979129</v>
      </c>
      <c r="E102" s="414">
        <v>22512</v>
      </c>
      <c r="F102" s="415">
        <v>956617</v>
      </c>
      <c r="G102" s="415">
        <v>967873</v>
      </c>
      <c r="H102" s="414">
        <v>147286.07261026395</v>
      </c>
      <c r="I102" s="416">
        <v>147286.07261026395</v>
      </c>
      <c r="J102" s="162">
        <f t="shared" ref="J102:J154" si="15">+I102-H102</f>
        <v>0</v>
      </c>
      <c r="K102" s="162"/>
      <c r="L102" s="333">
        <f>H102</f>
        <v>147286.07261026395</v>
      </c>
      <c r="M102" s="175">
        <f>IF(L102&lt;&gt;0,+H102-L102,0)</f>
        <v>0</v>
      </c>
      <c r="N102" s="333">
        <f>I102</f>
        <v>147286.07261026395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14"/>
        <v/>
      </c>
      <c r="C103" s="157">
        <f>IF(D93="","-",+C102+1)</f>
        <v>2017</v>
      </c>
      <c r="D103" s="413">
        <v>956617</v>
      </c>
      <c r="E103" s="414">
        <v>22512</v>
      </c>
      <c r="F103" s="415">
        <v>934105</v>
      </c>
      <c r="G103" s="415">
        <v>945361</v>
      </c>
      <c r="H103" s="414">
        <v>142433.42657860837</v>
      </c>
      <c r="I103" s="416">
        <v>142433.42657860837</v>
      </c>
      <c r="J103" s="162">
        <f t="shared" si="15"/>
        <v>0</v>
      </c>
      <c r="K103" s="162"/>
      <c r="L103" s="333">
        <f>H103</f>
        <v>142433.42657860837</v>
      </c>
      <c r="M103" s="175">
        <f>IF(L103&lt;&gt;0,+H103-L103,0)</f>
        <v>0</v>
      </c>
      <c r="N103" s="333">
        <f>I103</f>
        <v>142433.42657860837</v>
      </c>
      <c r="O103" s="160">
        <f>IF(N103&lt;&gt;0,+I103-N103,0)</f>
        <v>0</v>
      </c>
      <c r="P103" s="162">
        <f>+O103-M103</f>
        <v>0</v>
      </c>
    </row>
    <row r="104" spans="1:16">
      <c r="B104" s="9" t="str">
        <f t="shared" si="14"/>
        <v/>
      </c>
      <c r="C104" s="157">
        <f>IF(D93="","-",+C103+1)</f>
        <v>2018</v>
      </c>
      <c r="D104" s="158">
        <f>IF(F103+SUM(E$99:E103)=D$92,F103,D$92-SUM(E$99:E103))</f>
        <v>934105</v>
      </c>
      <c r="E104" s="164">
        <f t="shared" ref="E104:E154" si="16">IF(+J$96&lt;F103,J$96,D104)</f>
        <v>24083</v>
      </c>
      <c r="F104" s="163">
        <f t="shared" ref="F104:F154" si="17">+D104-E104</f>
        <v>910022</v>
      </c>
      <c r="G104" s="163">
        <f t="shared" ref="G104:G154" si="18">+(F104+D104)/2</f>
        <v>922063.5</v>
      </c>
      <c r="H104" s="167">
        <f t="shared" ref="H104:H154" si="19">+J$94*G104+E104</f>
        <v>118811.71632291189</v>
      </c>
      <c r="I104" s="312">
        <f t="shared" ref="I104:I154" si="20">+J$95*G104+E104</f>
        <v>118811.71632291189</v>
      </c>
      <c r="J104" s="162">
        <f t="shared" si="15"/>
        <v>0</v>
      </c>
      <c r="K104" s="162"/>
      <c r="L104" s="330"/>
      <c r="M104" s="162">
        <f t="shared" ref="M104:M130" si="21">IF(L104&lt;&gt;0,+H104-L104,0)</f>
        <v>0</v>
      </c>
      <c r="N104" s="330"/>
      <c r="O104" s="162">
        <f t="shared" ref="O104:O130" si="22">IF(N104&lt;&gt;0,+I104-N104,0)</f>
        <v>0</v>
      </c>
      <c r="P104" s="162">
        <f t="shared" ref="P104:P130" si="23">+O104-M104</f>
        <v>0</v>
      </c>
    </row>
    <row r="105" spans="1:16">
      <c r="B105" s="9" t="str">
        <f t="shared" si="14"/>
        <v/>
      </c>
      <c r="C105" s="157">
        <f>IF(D93="","-",+C104+1)</f>
        <v>2019</v>
      </c>
      <c r="D105" s="158">
        <f>IF(F104+SUM(E$99:E104)=D$92,F104,D$92-SUM(E$99:E104))</f>
        <v>910022</v>
      </c>
      <c r="E105" s="164">
        <f t="shared" si="16"/>
        <v>24083</v>
      </c>
      <c r="F105" s="163">
        <f t="shared" si="17"/>
        <v>885939</v>
      </c>
      <c r="G105" s="163">
        <f t="shared" si="18"/>
        <v>897980.5</v>
      </c>
      <c r="H105" s="167">
        <f t="shared" si="19"/>
        <v>116337.53566701923</v>
      </c>
      <c r="I105" s="312">
        <f t="shared" si="20"/>
        <v>116337.53566701923</v>
      </c>
      <c r="J105" s="162">
        <f t="shared" si="15"/>
        <v>0</v>
      </c>
      <c r="K105" s="162"/>
      <c r="L105" s="330"/>
      <c r="M105" s="162">
        <f t="shared" si="21"/>
        <v>0</v>
      </c>
      <c r="N105" s="330"/>
      <c r="O105" s="162">
        <f t="shared" si="22"/>
        <v>0</v>
      </c>
      <c r="P105" s="162">
        <f t="shared" si="23"/>
        <v>0</v>
      </c>
    </row>
    <row r="106" spans="1:16">
      <c r="B106" s="9" t="str">
        <f t="shared" si="14"/>
        <v/>
      </c>
      <c r="C106" s="157">
        <f>IF(D93="","-",+C105+1)</f>
        <v>2020</v>
      </c>
      <c r="D106" s="158">
        <f>IF(F105+SUM(E$99:E105)=D$92,F105,D$92-SUM(E$99:E105))</f>
        <v>885939</v>
      </c>
      <c r="E106" s="164">
        <f t="shared" si="16"/>
        <v>24083</v>
      </c>
      <c r="F106" s="163">
        <f t="shared" si="17"/>
        <v>861856</v>
      </c>
      <c r="G106" s="163">
        <f t="shared" si="18"/>
        <v>873897.5</v>
      </c>
      <c r="H106" s="167">
        <f t="shared" si="19"/>
        <v>113863.35501112655</v>
      </c>
      <c r="I106" s="312">
        <f t="shared" si="20"/>
        <v>113863.35501112655</v>
      </c>
      <c r="J106" s="162">
        <f t="shared" si="15"/>
        <v>0</v>
      </c>
      <c r="K106" s="162"/>
      <c r="L106" s="330"/>
      <c r="M106" s="162">
        <f t="shared" si="21"/>
        <v>0</v>
      </c>
      <c r="N106" s="330"/>
      <c r="O106" s="162">
        <f t="shared" si="22"/>
        <v>0</v>
      </c>
      <c r="P106" s="162">
        <f t="shared" si="23"/>
        <v>0</v>
      </c>
    </row>
    <row r="107" spans="1:16">
      <c r="B107" s="9" t="str">
        <f t="shared" si="14"/>
        <v/>
      </c>
      <c r="C107" s="157">
        <f>IF(D93="","-",+C106+1)</f>
        <v>2021</v>
      </c>
      <c r="D107" s="158">
        <f>IF(F106+SUM(E$99:E106)=D$92,F106,D$92-SUM(E$99:E106))</f>
        <v>861856</v>
      </c>
      <c r="E107" s="164">
        <f t="shared" si="16"/>
        <v>24083</v>
      </c>
      <c r="F107" s="163">
        <f t="shared" si="17"/>
        <v>837773</v>
      </c>
      <c r="G107" s="163">
        <f t="shared" si="18"/>
        <v>849814.5</v>
      </c>
      <c r="H107" s="167">
        <f t="shared" si="19"/>
        <v>111389.17435523389</v>
      </c>
      <c r="I107" s="312">
        <f t="shared" si="20"/>
        <v>111389.17435523389</v>
      </c>
      <c r="J107" s="162">
        <f t="shared" si="15"/>
        <v>0</v>
      </c>
      <c r="K107" s="162"/>
      <c r="L107" s="330"/>
      <c r="M107" s="162">
        <f t="shared" si="21"/>
        <v>0</v>
      </c>
      <c r="N107" s="330"/>
      <c r="O107" s="162">
        <f t="shared" si="22"/>
        <v>0</v>
      </c>
      <c r="P107" s="162">
        <f t="shared" si="23"/>
        <v>0</v>
      </c>
    </row>
    <row r="108" spans="1:16">
      <c r="B108" s="9" t="str">
        <f t="shared" si="14"/>
        <v/>
      </c>
      <c r="C108" s="157">
        <f>IF(D93="","-",+C107+1)</f>
        <v>2022</v>
      </c>
      <c r="D108" s="158">
        <f>IF(F107+SUM(E$99:E107)=D$92,F107,D$92-SUM(E$99:E107))</f>
        <v>837773</v>
      </c>
      <c r="E108" s="164">
        <f t="shared" si="16"/>
        <v>24083</v>
      </c>
      <c r="F108" s="163">
        <f t="shared" si="17"/>
        <v>813690</v>
      </c>
      <c r="G108" s="163">
        <f t="shared" si="18"/>
        <v>825731.5</v>
      </c>
      <c r="H108" s="167">
        <f t="shared" si="19"/>
        <v>108914.99369934123</v>
      </c>
      <c r="I108" s="312">
        <f t="shared" si="20"/>
        <v>108914.99369934123</v>
      </c>
      <c r="J108" s="162">
        <f t="shared" si="15"/>
        <v>0</v>
      </c>
      <c r="K108" s="162"/>
      <c r="L108" s="330"/>
      <c r="M108" s="162">
        <f t="shared" si="21"/>
        <v>0</v>
      </c>
      <c r="N108" s="330"/>
      <c r="O108" s="162">
        <f t="shared" si="22"/>
        <v>0</v>
      </c>
      <c r="P108" s="162">
        <f t="shared" si="23"/>
        <v>0</v>
      </c>
    </row>
    <row r="109" spans="1:16">
      <c r="B109" s="9" t="str">
        <f t="shared" si="14"/>
        <v/>
      </c>
      <c r="C109" s="157">
        <f>IF(D93="","-",+C108+1)</f>
        <v>2023</v>
      </c>
      <c r="D109" s="158">
        <f>IF(F108+SUM(E$99:E108)=D$92,F108,D$92-SUM(E$99:E108))</f>
        <v>813690</v>
      </c>
      <c r="E109" s="164">
        <f t="shared" si="16"/>
        <v>24083</v>
      </c>
      <c r="F109" s="163">
        <f t="shared" si="17"/>
        <v>789607</v>
      </c>
      <c r="G109" s="163">
        <f t="shared" si="18"/>
        <v>801648.5</v>
      </c>
      <c r="H109" s="167">
        <f t="shared" si="19"/>
        <v>106440.81304344855</v>
      </c>
      <c r="I109" s="312">
        <f t="shared" si="20"/>
        <v>106440.81304344855</v>
      </c>
      <c r="J109" s="162">
        <f t="shared" si="15"/>
        <v>0</v>
      </c>
      <c r="K109" s="162"/>
      <c r="L109" s="330"/>
      <c r="M109" s="162">
        <f t="shared" si="21"/>
        <v>0</v>
      </c>
      <c r="N109" s="330"/>
      <c r="O109" s="162">
        <f t="shared" si="22"/>
        <v>0</v>
      </c>
      <c r="P109" s="162">
        <f t="shared" si="23"/>
        <v>0</v>
      </c>
    </row>
    <row r="110" spans="1:16">
      <c r="B110" s="9" t="str">
        <f t="shared" si="14"/>
        <v/>
      </c>
      <c r="C110" s="157">
        <f>IF(D93="","-",+C109+1)</f>
        <v>2024</v>
      </c>
      <c r="D110" s="158">
        <f>IF(F109+SUM(E$99:E109)=D$92,F109,D$92-SUM(E$99:E109))</f>
        <v>789607</v>
      </c>
      <c r="E110" s="164">
        <f t="shared" si="16"/>
        <v>24083</v>
      </c>
      <c r="F110" s="163">
        <f t="shared" si="17"/>
        <v>765524</v>
      </c>
      <c r="G110" s="163">
        <f t="shared" si="18"/>
        <v>777565.5</v>
      </c>
      <c r="H110" s="167">
        <f t="shared" si="19"/>
        <v>103966.63238755589</v>
      </c>
      <c r="I110" s="312">
        <f t="shared" si="20"/>
        <v>103966.63238755589</v>
      </c>
      <c r="J110" s="162">
        <f t="shared" si="15"/>
        <v>0</v>
      </c>
      <c r="K110" s="162"/>
      <c r="L110" s="330"/>
      <c r="M110" s="162">
        <f t="shared" si="21"/>
        <v>0</v>
      </c>
      <c r="N110" s="330"/>
      <c r="O110" s="162">
        <f t="shared" si="22"/>
        <v>0</v>
      </c>
      <c r="P110" s="162">
        <f t="shared" si="23"/>
        <v>0</v>
      </c>
    </row>
    <row r="111" spans="1:16">
      <c r="B111" s="9" t="str">
        <f t="shared" si="14"/>
        <v/>
      </c>
      <c r="C111" s="157">
        <f>IF(D93="","-",+C110+1)</f>
        <v>2025</v>
      </c>
      <c r="D111" s="158">
        <f>IF(F110+SUM(E$99:E110)=D$92,F110,D$92-SUM(E$99:E110))</f>
        <v>765524</v>
      </c>
      <c r="E111" s="164">
        <f t="shared" si="16"/>
        <v>24083</v>
      </c>
      <c r="F111" s="163">
        <f t="shared" si="17"/>
        <v>741441</v>
      </c>
      <c r="G111" s="163">
        <f t="shared" si="18"/>
        <v>753482.5</v>
      </c>
      <c r="H111" s="167">
        <f t="shared" si="19"/>
        <v>101492.45173166323</v>
      </c>
      <c r="I111" s="312">
        <f t="shared" si="20"/>
        <v>101492.45173166323</v>
      </c>
      <c r="J111" s="162">
        <f t="shared" si="15"/>
        <v>0</v>
      </c>
      <c r="K111" s="162"/>
      <c r="L111" s="330"/>
      <c r="M111" s="162">
        <f t="shared" si="21"/>
        <v>0</v>
      </c>
      <c r="N111" s="330"/>
      <c r="O111" s="162">
        <f t="shared" si="22"/>
        <v>0</v>
      </c>
      <c r="P111" s="162">
        <f t="shared" si="23"/>
        <v>0</v>
      </c>
    </row>
    <row r="112" spans="1:16">
      <c r="B112" s="9" t="str">
        <f t="shared" si="14"/>
        <v/>
      </c>
      <c r="C112" s="157">
        <f>IF(D93="","-",+C111+1)</f>
        <v>2026</v>
      </c>
      <c r="D112" s="158">
        <f>IF(F111+SUM(E$99:E111)=D$92,F111,D$92-SUM(E$99:E111))</f>
        <v>741441</v>
      </c>
      <c r="E112" s="164">
        <f t="shared" si="16"/>
        <v>24083</v>
      </c>
      <c r="F112" s="163">
        <f t="shared" si="17"/>
        <v>717358</v>
      </c>
      <c r="G112" s="163">
        <f t="shared" si="18"/>
        <v>729399.5</v>
      </c>
      <c r="H112" s="167">
        <f t="shared" si="19"/>
        <v>99018.271075770564</v>
      </c>
      <c r="I112" s="312">
        <f t="shared" si="20"/>
        <v>99018.271075770564</v>
      </c>
      <c r="J112" s="162">
        <f t="shared" si="15"/>
        <v>0</v>
      </c>
      <c r="K112" s="162"/>
      <c r="L112" s="330"/>
      <c r="M112" s="162">
        <f t="shared" si="21"/>
        <v>0</v>
      </c>
      <c r="N112" s="330"/>
      <c r="O112" s="162">
        <f t="shared" si="22"/>
        <v>0</v>
      </c>
      <c r="P112" s="162">
        <f t="shared" si="23"/>
        <v>0</v>
      </c>
    </row>
    <row r="113" spans="2:16">
      <c r="B113" s="9" t="str">
        <f t="shared" si="14"/>
        <v/>
      </c>
      <c r="C113" s="157">
        <f>IF(D93="","-",+C112+1)</f>
        <v>2027</v>
      </c>
      <c r="D113" s="158">
        <f>IF(F112+SUM(E$99:E112)=D$92,F112,D$92-SUM(E$99:E112))</f>
        <v>717358</v>
      </c>
      <c r="E113" s="164">
        <f t="shared" si="16"/>
        <v>24083</v>
      </c>
      <c r="F113" s="163">
        <f t="shared" si="17"/>
        <v>693275</v>
      </c>
      <c r="G113" s="163">
        <f t="shared" si="18"/>
        <v>705316.5</v>
      </c>
      <c r="H113" s="167">
        <f t="shared" si="19"/>
        <v>96544.090419877888</v>
      </c>
      <c r="I113" s="312">
        <f t="shared" si="20"/>
        <v>96544.090419877888</v>
      </c>
      <c r="J113" s="162">
        <f t="shared" si="15"/>
        <v>0</v>
      </c>
      <c r="K113" s="162"/>
      <c r="L113" s="330"/>
      <c r="M113" s="162">
        <f t="shared" si="21"/>
        <v>0</v>
      </c>
      <c r="N113" s="330"/>
      <c r="O113" s="162">
        <f t="shared" si="22"/>
        <v>0</v>
      </c>
      <c r="P113" s="162">
        <f t="shared" si="23"/>
        <v>0</v>
      </c>
    </row>
    <row r="114" spans="2:16">
      <c r="B114" s="9" t="str">
        <f t="shared" si="14"/>
        <v/>
      </c>
      <c r="C114" s="157">
        <f>IF(D93="","-",+C113+1)</f>
        <v>2028</v>
      </c>
      <c r="D114" s="158">
        <f>IF(F113+SUM(E$99:E113)=D$92,F113,D$92-SUM(E$99:E113))</f>
        <v>693275</v>
      </c>
      <c r="E114" s="164">
        <f t="shared" si="16"/>
        <v>24083</v>
      </c>
      <c r="F114" s="163">
        <f t="shared" si="17"/>
        <v>669192</v>
      </c>
      <c r="G114" s="163">
        <f t="shared" si="18"/>
        <v>681233.5</v>
      </c>
      <c r="H114" s="167">
        <f t="shared" si="19"/>
        <v>94069.909763985226</v>
      </c>
      <c r="I114" s="312">
        <f t="shared" si="20"/>
        <v>94069.909763985226</v>
      </c>
      <c r="J114" s="162">
        <f t="shared" si="15"/>
        <v>0</v>
      </c>
      <c r="K114" s="162"/>
      <c r="L114" s="330"/>
      <c r="M114" s="162">
        <f t="shared" si="21"/>
        <v>0</v>
      </c>
      <c r="N114" s="330"/>
      <c r="O114" s="162">
        <f t="shared" si="22"/>
        <v>0</v>
      </c>
      <c r="P114" s="162">
        <f t="shared" si="23"/>
        <v>0</v>
      </c>
    </row>
    <row r="115" spans="2:16">
      <c r="B115" s="9" t="str">
        <f t="shared" si="14"/>
        <v/>
      </c>
      <c r="C115" s="157">
        <f>IF(D93="","-",+C114+1)</f>
        <v>2029</v>
      </c>
      <c r="D115" s="158">
        <f>IF(F114+SUM(E$99:E114)=D$92,F114,D$92-SUM(E$99:E114))</f>
        <v>669192</v>
      </c>
      <c r="E115" s="164">
        <f t="shared" si="16"/>
        <v>24083</v>
      </c>
      <c r="F115" s="163">
        <f t="shared" si="17"/>
        <v>645109</v>
      </c>
      <c r="G115" s="163">
        <f t="shared" si="18"/>
        <v>657150.5</v>
      </c>
      <c r="H115" s="167">
        <f t="shared" si="19"/>
        <v>91595.729108092564</v>
      </c>
      <c r="I115" s="312">
        <f t="shared" si="20"/>
        <v>91595.729108092564</v>
      </c>
      <c r="J115" s="162">
        <f t="shared" si="15"/>
        <v>0</v>
      </c>
      <c r="K115" s="162"/>
      <c r="L115" s="330"/>
      <c r="M115" s="162">
        <f t="shared" si="21"/>
        <v>0</v>
      </c>
      <c r="N115" s="330"/>
      <c r="O115" s="162">
        <f t="shared" si="22"/>
        <v>0</v>
      </c>
      <c r="P115" s="162">
        <f t="shared" si="23"/>
        <v>0</v>
      </c>
    </row>
    <row r="116" spans="2:16">
      <c r="B116" s="9" t="str">
        <f t="shared" si="14"/>
        <v/>
      </c>
      <c r="C116" s="157">
        <f>IF(D93="","-",+C115+1)</f>
        <v>2030</v>
      </c>
      <c r="D116" s="158">
        <f>IF(F115+SUM(E$99:E115)=D$92,F115,D$92-SUM(E$99:E115))</f>
        <v>645109</v>
      </c>
      <c r="E116" s="164">
        <f t="shared" si="16"/>
        <v>24083</v>
      </c>
      <c r="F116" s="163">
        <f t="shared" si="17"/>
        <v>621026</v>
      </c>
      <c r="G116" s="163">
        <f t="shared" si="18"/>
        <v>633067.5</v>
      </c>
      <c r="H116" s="167">
        <f t="shared" si="19"/>
        <v>89121.548452199902</v>
      </c>
      <c r="I116" s="312">
        <f t="shared" si="20"/>
        <v>89121.548452199902</v>
      </c>
      <c r="J116" s="162">
        <f t="shared" si="15"/>
        <v>0</v>
      </c>
      <c r="K116" s="162"/>
      <c r="L116" s="330"/>
      <c r="M116" s="162">
        <f t="shared" si="21"/>
        <v>0</v>
      </c>
      <c r="N116" s="330"/>
      <c r="O116" s="162">
        <f t="shared" si="22"/>
        <v>0</v>
      </c>
      <c r="P116" s="162">
        <f t="shared" si="23"/>
        <v>0</v>
      </c>
    </row>
    <row r="117" spans="2:16">
      <c r="B117" s="9" t="str">
        <f t="shared" si="14"/>
        <v/>
      </c>
      <c r="C117" s="157">
        <f>IF(D93="","-",+C116+1)</f>
        <v>2031</v>
      </c>
      <c r="D117" s="158">
        <f>IF(F116+SUM(E$99:E116)=D$92,F116,D$92-SUM(E$99:E116))</f>
        <v>621026</v>
      </c>
      <c r="E117" s="164">
        <f t="shared" si="16"/>
        <v>24083</v>
      </c>
      <c r="F117" s="163">
        <f t="shared" si="17"/>
        <v>596943</v>
      </c>
      <c r="G117" s="163">
        <f t="shared" si="18"/>
        <v>608984.5</v>
      </c>
      <c r="H117" s="167">
        <f t="shared" si="19"/>
        <v>86647.367796307226</v>
      </c>
      <c r="I117" s="312">
        <f t="shared" si="20"/>
        <v>86647.367796307226</v>
      </c>
      <c r="J117" s="162">
        <f t="shared" si="15"/>
        <v>0</v>
      </c>
      <c r="K117" s="162"/>
      <c r="L117" s="330"/>
      <c r="M117" s="162">
        <f t="shared" si="21"/>
        <v>0</v>
      </c>
      <c r="N117" s="330"/>
      <c r="O117" s="162">
        <f t="shared" si="22"/>
        <v>0</v>
      </c>
      <c r="P117" s="162">
        <f t="shared" si="23"/>
        <v>0</v>
      </c>
    </row>
    <row r="118" spans="2:16">
      <c r="B118" s="9" t="str">
        <f t="shared" si="14"/>
        <v/>
      </c>
      <c r="C118" s="157">
        <f>IF(D93="","-",+C117+1)</f>
        <v>2032</v>
      </c>
      <c r="D118" s="158">
        <f>IF(F117+SUM(E$99:E117)=D$92,F117,D$92-SUM(E$99:E117))</f>
        <v>596943</v>
      </c>
      <c r="E118" s="164">
        <f t="shared" si="16"/>
        <v>24083</v>
      </c>
      <c r="F118" s="163">
        <f t="shared" si="17"/>
        <v>572860</v>
      </c>
      <c r="G118" s="163">
        <f t="shared" si="18"/>
        <v>584901.5</v>
      </c>
      <c r="H118" s="167">
        <f t="shared" si="19"/>
        <v>84173.187140414564</v>
      </c>
      <c r="I118" s="312">
        <f t="shared" si="20"/>
        <v>84173.187140414564</v>
      </c>
      <c r="J118" s="162">
        <f t="shared" si="15"/>
        <v>0</v>
      </c>
      <c r="K118" s="162"/>
      <c r="L118" s="330"/>
      <c r="M118" s="162">
        <f t="shared" si="21"/>
        <v>0</v>
      </c>
      <c r="N118" s="330"/>
      <c r="O118" s="162">
        <f t="shared" si="22"/>
        <v>0</v>
      </c>
      <c r="P118" s="162">
        <f t="shared" si="23"/>
        <v>0</v>
      </c>
    </row>
    <row r="119" spans="2:16">
      <c r="B119" s="9" t="str">
        <f t="shared" si="14"/>
        <v/>
      </c>
      <c r="C119" s="157">
        <f>IF(D93="","-",+C118+1)</f>
        <v>2033</v>
      </c>
      <c r="D119" s="158">
        <f>IF(F118+SUM(E$99:E118)=D$92,F118,D$92-SUM(E$99:E118))</f>
        <v>572860</v>
      </c>
      <c r="E119" s="164">
        <f t="shared" si="16"/>
        <v>24083</v>
      </c>
      <c r="F119" s="163">
        <f t="shared" si="17"/>
        <v>548777</v>
      </c>
      <c r="G119" s="163">
        <f t="shared" si="18"/>
        <v>560818.5</v>
      </c>
      <c r="H119" s="167">
        <f t="shared" si="19"/>
        <v>81699.006484521902</v>
      </c>
      <c r="I119" s="312">
        <f t="shared" si="20"/>
        <v>81699.006484521902</v>
      </c>
      <c r="J119" s="162">
        <f t="shared" si="15"/>
        <v>0</v>
      </c>
      <c r="K119" s="162"/>
      <c r="L119" s="330"/>
      <c r="M119" s="162">
        <f t="shared" si="21"/>
        <v>0</v>
      </c>
      <c r="N119" s="330"/>
      <c r="O119" s="162">
        <f t="shared" si="22"/>
        <v>0</v>
      </c>
      <c r="P119" s="162">
        <f t="shared" si="23"/>
        <v>0</v>
      </c>
    </row>
    <row r="120" spans="2:16">
      <c r="B120" s="9" t="str">
        <f t="shared" si="14"/>
        <v/>
      </c>
      <c r="C120" s="157">
        <f>IF(D93="","-",+C119+1)</f>
        <v>2034</v>
      </c>
      <c r="D120" s="158">
        <f>IF(F119+SUM(E$99:E119)=D$92,F119,D$92-SUM(E$99:E119))</f>
        <v>548777</v>
      </c>
      <c r="E120" s="164">
        <f t="shared" si="16"/>
        <v>24083</v>
      </c>
      <c r="F120" s="163">
        <f t="shared" si="17"/>
        <v>524694</v>
      </c>
      <c r="G120" s="163">
        <f t="shared" si="18"/>
        <v>536735.5</v>
      </c>
      <c r="H120" s="167">
        <f t="shared" si="19"/>
        <v>79224.825828629226</v>
      </c>
      <c r="I120" s="312">
        <f t="shared" si="20"/>
        <v>79224.825828629226</v>
      </c>
      <c r="J120" s="162">
        <f t="shared" si="15"/>
        <v>0</v>
      </c>
      <c r="K120" s="162"/>
      <c r="L120" s="330"/>
      <c r="M120" s="162">
        <f t="shared" si="21"/>
        <v>0</v>
      </c>
      <c r="N120" s="330"/>
      <c r="O120" s="162">
        <f t="shared" si="22"/>
        <v>0</v>
      </c>
      <c r="P120" s="162">
        <f t="shared" si="23"/>
        <v>0</v>
      </c>
    </row>
    <row r="121" spans="2:16">
      <c r="B121" s="9" t="str">
        <f t="shared" si="14"/>
        <v/>
      </c>
      <c r="C121" s="157">
        <f>IF(D93="","-",+C120+1)</f>
        <v>2035</v>
      </c>
      <c r="D121" s="158">
        <f>IF(F120+SUM(E$99:E120)=D$92,F120,D$92-SUM(E$99:E120))</f>
        <v>524694</v>
      </c>
      <c r="E121" s="164">
        <f t="shared" si="16"/>
        <v>24083</v>
      </c>
      <c r="F121" s="163">
        <f t="shared" si="17"/>
        <v>500611</v>
      </c>
      <c r="G121" s="163">
        <f t="shared" si="18"/>
        <v>512652.5</v>
      </c>
      <c r="H121" s="167">
        <f t="shared" si="19"/>
        <v>76750.645172736578</v>
      </c>
      <c r="I121" s="312">
        <f t="shared" si="20"/>
        <v>76750.645172736578</v>
      </c>
      <c r="J121" s="162">
        <f t="shared" si="15"/>
        <v>0</v>
      </c>
      <c r="K121" s="162"/>
      <c r="L121" s="330"/>
      <c r="M121" s="162">
        <f t="shared" si="21"/>
        <v>0</v>
      </c>
      <c r="N121" s="330"/>
      <c r="O121" s="162">
        <f t="shared" si="22"/>
        <v>0</v>
      </c>
      <c r="P121" s="162">
        <f t="shared" si="23"/>
        <v>0</v>
      </c>
    </row>
    <row r="122" spans="2:16">
      <c r="B122" s="9" t="str">
        <f t="shared" si="14"/>
        <v/>
      </c>
      <c r="C122" s="157">
        <f>IF(D93="","-",+C121+1)</f>
        <v>2036</v>
      </c>
      <c r="D122" s="158">
        <f>IF(F121+SUM(E$99:E121)=D$92,F121,D$92-SUM(E$99:E121))</f>
        <v>500611</v>
      </c>
      <c r="E122" s="164">
        <f t="shared" si="16"/>
        <v>24083</v>
      </c>
      <c r="F122" s="163">
        <f t="shared" si="17"/>
        <v>476528</v>
      </c>
      <c r="G122" s="163">
        <f t="shared" si="18"/>
        <v>488569.5</v>
      </c>
      <c r="H122" s="167">
        <f t="shared" si="19"/>
        <v>74276.464516843902</v>
      </c>
      <c r="I122" s="312">
        <f t="shared" si="20"/>
        <v>74276.464516843902</v>
      </c>
      <c r="J122" s="162">
        <f t="shared" si="15"/>
        <v>0</v>
      </c>
      <c r="K122" s="162"/>
      <c r="L122" s="330"/>
      <c r="M122" s="162">
        <f t="shared" si="21"/>
        <v>0</v>
      </c>
      <c r="N122" s="330"/>
      <c r="O122" s="162">
        <f t="shared" si="22"/>
        <v>0</v>
      </c>
      <c r="P122" s="162">
        <f t="shared" si="23"/>
        <v>0</v>
      </c>
    </row>
    <row r="123" spans="2:16">
      <c r="B123" s="9" t="str">
        <f t="shared" si="14"/>
        <v/>
      </c>
      <c r="C123" s="157">
        <f>IF(D93="","-",+C122+1)</f>
        <v>2037</v>
      </c>
      <c r="D123" s="158">
        <f>IF(F122+SUM(E$99:E122)=D$92,F122,D$92-SUM(E$99:E122))</f>
        <v>476528</v>
      </c>
      <c r="E123" s="164">
        <f t="shared" si="16"/>
        <v>24083</v>
      </c>
      <c r="F123" s="163">
        <f t="shared" si="17"/>
        <v>452445</v>
      </c>
      <c r="G123" s="163">
        <f t="shared" si="18"/>
        <v>464486.5</v>
      </c>
      <c r="H123" s="167">
        <f t="shared" si="19"/>
        <v>71802.28386095124</v>
      </c>
      <c r="I123" s="312">
        <f t="shared" si="20"/>
        <v>71802.28386095124</v>
      </c>
      <c r="J123" s="162">
        <f t="shared" si="15"/>
        <v>0</v>
      </c>
      <c r="K123" s="162"/>
      <c r="L123" s="330"/>
      <c r="M123" s="162">
        <f t="shared" si="21"/>
        <v>0</v>
      </c>
      <c r="N123" s="330"/>
      <c r="O123" s="162">
        <f t="shared" si="22"/>
        <v>0</v>
      </c>
      <c r="P123" s="162">
        <f t="shared" si="23"/>
        <v>0</v>
      </c>
    </row>
    <row r="124" spans="2:16">
      <c r="B124" s="9" t="str">
        <f t="shared" si="14"/>
        <v/>
      </c>
      <c r="C124" s="157">
        <f>IF(D93="","-",+C123+1)</f>
        <v>2038</v>
      </c>
      <c r="D124" s="158">
        <f>IF(F123+SUM(E$99:E123)=D$92,F123,D$92-SUM(E$99:E123))</f>
        <v>452445</v>
      </c>
      <c r="E124" s="164">
        <f t="shared" si="16"/>
        <v>24083</v>
      </c>
      <c r="F124" s="163">
        <f t="shared" si="17"/>
        <v>428362</v>
      </c>
      <c r="G124" s="163">
        <f t="shared" si="18"/>
        <v>440403.5</v>
      </c>
      <c r="H124" s="167">
        <f t="shared" si="19"/>
        <v>69328.103205058578</v>
      </c>
      <c r="I124" s="312">
        <f t="shared" si="20"/>
        <v>69328.103205058578</v>
      </c>
      <c r="J124" s="162">
        <f t="shared" si="15"/>
        <v>0</v>
      </c>
      <c r="K124" s="162"/>
      <c r="L124" s="330"/>
      <c r="M124" s="162">
        <f t="shared" si="21"/>
        <v>0</v>
      </c>
      <c r="N124" s="330"/>
      <c r="O124" s="162">
        <f t="shared" si="22"/>
        <v>0</v>
      </c>
      <c r="P124" s="162">
        <f t="shared" si="23"/>
        <v>0</v>
      </c>
    </row>
    <row r="125" spans="2:16">
      <c r="B125" s="9" t="str">
        <f t="shared" si="14"/>
        <v/>
      </c>
      <c r="C125" s="157">
        <f>IF(D93="","-",+C124+1)</f>
        <v>2039</v>
      </c>
      <c r="D125" s="158">
        <f>IF(F124+SUM(E$99:E124)=D$92,F124,D$92-SUM(E$99:E124))</f>
        <v>428362</v>
      </c>
      <c r="E125" s="164">
        <f t="shared" si="16"/>
        <v>24083</v>
      </c>
      <c r="F125" s="163">
        <f t="shared" si="17"/>
        <v>404279</v>
      </c>
      <c r="G125" s="163">
        <f t="shared" si="18"/>
        <v>416320.5</v>
      </c>
      <c r="H125" s="167">
        <f t="shared" si="19"/>
        <v>66853.922549165902</v>
      </c>
      <c r="I125" s="312">
        <f t="shared" si="20"/>
        <v>66853.922549165902</v>
      </c>
      <c r="J125" s="162">
        <f t="shared" si="15"/>
        <v>0</v>
      </c>
      <c r="K125" s="162"/>
      <c r="L125" s="330"/>
      <c r="M125" s="162">
        <f t="shared" si="21"/>
        <v>0</v>
      </c>
      <c r="N125" s="330"/>
      <c r="O125" s="162">
        <f t="shared" si="22"/>
        <v>0</v>
      </c>
      <c r="P125" s="162">
        <f t="shared" si="23"/>
        <v>0</v>
      </c>
    </row>
    <row r="126" spans="2:16">
      <c r="B126" s="9" t="str">
        <f t="shared" si="14"/>
        <v/>
      </c>
      <c r="C126" s="157">
        <f>IF(D93="","-",+C125+1)</f>
        <v>2040</v>
      </c>
      <c r="D126" s="158">
        <f>IF(F125+SUM(E$99:E125)=D$92,F125,D$92-SUM(E$99:E125))</f>
        <v>404279</v>
      </c>
      <c r="E126" s="164">
        <f t="shared" si="16"/>
        <v>24083</v>
      </c>
      <c r="F126" s="163">
        <f t="shared" si="17"/>
        <v>380196</v>
      </c>
      <c r="G126" s="163">
        <f t="shared" si="18"/>
        <v>392237.5</v>
      </c>
      <c r="H126" s="167">
        <f t="shared" si="19"/>
        <v>64379.74189327324</v>
      </c>
      <c r="I126" s="312">
        <f t="shared" si="20"/>
        <v>64379.74189327324</v>
      </c>
      <c r="J126" s="162">
        <f t="shared" si="15"/>
        <v>0</v>
      </c>
      <c r="K126" s="162"/>
      <c r="L126" s="330"/>
      <c r="M126" s="162">
        <f t="shared" si="21"/>
        <v>0</v>
      </c>
      <c r="N126" s="330"/>
      <c r="O126" s="162">
        <f t="shared" si="22"/>
        <v>0</v>
      </c>
      <c r="P126" s="162">
        <f t="shared" si="23"/>
        <v>0</v>
      </c>
    </row>
    <row r="127" spans="2:16">
      <c r="B127" s="9" t="str">
        <f t="shared" si="14"/>
        <v/>
      </c>
      <c r="C127" s="157">
        <f>IF(D93="","-",+C126+1)</f>
        <v>2041</v>
      </c>
      <c r="D127" s="158">
        <f>IF(F126+SUM(E$99:E126)=D$92,F126,D$92-SUM(E$99:E126))</f>
        <v>380196</v>
      </c>
      <c r="E127" s="164">
        <f t="shared" si="16"/>
        <v>24083</v>
      </c>
      <c r="F127" s="163">
        <f t="shared" si="17"/>
        <v>356113</v>
      </c>
      <c r="G127" s="163">
        <f t="shared" si="18"/>
        <v>368154.5</v>
      </c>
      <c r="H127" s="167">
        <f t="shared" si="19"/>
        <v>61905.561237380578</v>
      </c>
      <c r="I127" s="312">
        <f t="shared" si="20"/>
        <v>61905.561237380578</v>
      </c>
      <c r="J127" s="162">
        <f t="shared" si="15"/>
        <v>0</v>
      </c>
      <c r="K127" s="162"/>
      <c r="L127" s="330"/>
      <c r="M127" s="162">
        <f t="shared" si="21"/>
        <v>0</v>
      </c>
      <c r="N127" s="330"/>
      <c r="O127" s="162">
        <f t="shared" si="22"/>
        <v>0</v>
      </c>
      <c r="P127" s="162">
        <f t="shared" si="23"/>
        <v>0</v>
      </c>
    </row>
    <row r="128" spans="2:16">
      <c r="B128" s="9" t="str">
        <f t="shared" si="14"/>
        <v/>
      </c>
      <c r="C128" s="157">
        <f>IF(D93="","-",+C127+1)</f>
        <v>2042</v>
      </c>
      <c r="D128" s="158">
        <f>IF(F127+SUM(E$99:E127)=D$92,F127,D$92-SUM(E$99:E127))</f>
        <v>356113</v>
      </c>
      <c r="E128" s="164">
        <f t="shared" si="16"/>
        <v>24083</v>
      </c>
      <c r="F128" s="163">
        <f t="shared" si="17"/>
        <v>332030</v>
      </c>
      <c r="G128" s="163">
        <f t="shared" si="18"/>
        <v>344071.5</v>
      </c>
      <c r="H128" s="167">
        <f t="shared" si="19"/>
        <v>59431.380581487909</v>
      </c>
      <c r="I128" s="312">
        <f t="shared" si="20"/>
        <v>59431.380581487909</v>
      </c>
      <c r="J128" s="162">
        <f t="shared" si="15"/>
        <v>0</v>
      </c>
      <c r="K128" s="162"/>
      <c r="L128" s="330"/>
      <c r="M128" s="162">
        <f t="shared" si="21"/>
        <v>0</v>
      </c>
      <c r="N128" s="330"/>
      <c r="O128" s="162">
        <f t="shared" si="22"/>
        <v>0</v>
      </c>
      <c r="P128" s="162">
        <f t="shared" si="23"/>
        <v>0</v>
      </c>
    </row>
    <row r="129" spans="2:16">
      <c r="B129" s="9" t="str">
        <f t="shared" si="14"/>
        <v/>
      </c>
      <c r="C129" s="157">
        <f>IF(D93="","-",+C128+1)</f>
        <v>2043</v>
      </c>
      <c r="D129" s="158">
        <f>IF(F128+SUM(E$99:E128)=D$92,F128,D$92-SUM(E$99:E128))</f>
        <v>332030</v>
      </c>
      <c r="E129" s="164">
        <f t="shared" si="16"/>
        <v>24083</v>
      </c>
      <c r="F129" s="163">
        <f t="shared" si="17"/>
        <v>307947</v>
      </c>
      <c r="G129" s="163">
        <f t="shared" si="18"/>
        <v>319988.5</v>
      </c>
      <c r="H129" s="167">
        <f t="shared" si="19"/>
        <v>56957.199925595247</v>
      </c>
      <c r="I129" s="312">
        <f t="shared" si="20"/>
        <v>56957.199925595247</v>
      </c>
      <c r="J129" s="162">
        <f t="shared" si="15"/>
        <v>0</v>
      </c>
      <c r="K129" s="162"/>
      <c r="L129" s="330"/>
      <c r="M129" s="162">
        <f t="shared" si="21"/>
        <v>0</v>
      </c>
      <c r="N129" s="330"/>
      <c r="O129" s="162">
        <f t="shared" si="22"/>
        <v>0</v>
      </c>
      <c r="P129" s="162">
        <f t="shared" si="23"/>
        <v>0</v>
      </c>
    </row>
    <row r="130" spans="2:16">
      <c r="B130" s="9" t="str">
        <f t="shared" si="14"/>
        <v/>
      </c>
      <c r="C130" s="157">
        <f>IF(D93="","-",+C129+1)</f>
        <v>2044</v>
      </c>
      <c r="D130" s="158">
        <f>IF(F129+SUM(E$99:E129)=D$92,F129,D$92-SUM(E$99:E129))</f>
        <v>307947</v>
      </c>
      <c r="E130" s="164">
        <f t="shared" si="16"/>
        <v>24083</v>
      </c>
      <c r="F130" s="163">
        <f t="shared" si="17"/>
        <v>283864</v>
      </c>
      <c r="G130" s="163">
        <f t="shared" si="18"/>
        <v>295905.5</v>
      </c>
      <c r="H130" s="167">
        <f t="shared" si="19"/>
        <v>54483.019269702578</v>
      </c>
      <c r="I130" s="312">
        <f t="shared" si="20"/>
        <v>54483.019269702578</v>
      </c>
      <c r="J130" s="162">
        <f t="shared" si="15"/>
        <v>0</v>
      </c>
      <c r="K130" s="162"/>
      <c r="L130" s="330"/>
      <c r="M130" s="162">
        <f t="shared" si="21"/>
        <v>0</v>
      </c>
      <c r="N130" s="330"/>
      <c r="O130" s="162">
        <f t="shared" si="22"/>
        <v>0</v>
      </c>
      <c r="P130" s="162">
        <f t="shared" si="23"/>
        <v>0</v>
      </c>
    </row>
    <row r="131" spans="2:16">
      <c r="B131" s="9" t="str">
        <f t="shared" si="14"/>
        <v/>
      </c>
      <c r="C131" s="157">
        <f>IF(D93="","-",+C130+1)</f>
        <v>2045</v>
      </c>
      <c r="D131" s="158">
        <f>IF(F130+SUM(E$99:E130)=D$92,F130,D$92-SUM(E$99:E130))</f>
        <v>283864</v>
      </c>
      <c r="E131" s="164">
        <f t="shared" si="16"/>
        <v>24083</v>
      </c>
      <c r="F131" s="163">
        <f t="shared" si="17"/>
        <v>259781</v>
      </c>
      <c r="G131" s="163">
        <f t="shared" si="18"/>
        <v>271822.5</v>
      </c>
      <c r="H131" s="167">
        <f t="shared" si="19"/>
        <v>52008.838613809916</v>
      </c>
      <c r="I131" s="312">
        <f t="shared" si="20"/>
        <v>52008.838613809916</v>
      </c>
      <c r="J131" s="162">
        <f t="shared" si="15"/>
        <v>0</v>
      </c>
      <c r="K131" s="162"/>
      <c r="L131" s="330"/>
      <c r="M131" s="162">
        <f t="shared" ref="M131:M154" si="24">IF(L541&lt;&gt;0,+H541-L541,0)</f>
        <v>0</v>
      </c>
      <c r="N131" s="330"/>
      <c r="O131" s="162">
        <f t="shared" ref="O131:O154" si="25">IF(N541&lt;&gt;0,+I541-N541,0)</f>
        <v>0</v>
      </c>
      <c r="P131" s="162">
        <f t="shared" ref="P131:P154" si="26">+O541-M541</f>
        <v>0</v>
      </c>
    </row>
    <row r="132" spans="2:16">
      <c r="B132" s="9" t="str">
        <f t="shared" si="14"/>
        <v/>
      </c>
      <c r="C132" s="157">
        <f>IF(D93="","-",+C131+1)</f>
        <v>2046</v>
      </c>
      <c r="D132" s="158">
        <f>IF(F131+SUM(E$99:E131)=D$92,F131,D$92-SUM(E$99:E131))</f>
        <v>259781</v>
      </c>
      <c r="E132" s="164">
        <f t="shared" si="16"/>
        <v>24083</v>
      </c>
      <c r="F132" s="163">
        <f t="shared" si="17"/>
        <v>235698</v>
      </c>
      <c r="G132" s="163">
        <f t="shared" si="18"/>
        <v>247739.5</v>
      </c>
      <c r="H132" s="167">
        <f t="shared" si="19"/>
        <v>49534.657957917247</v>
      </c>
      <c r="I132" s="312">
        <f t="shared" si="20"/>
        <v>49534.657957917247</v>
      </c>
      <c r="J132" s="162">
        <f t="shared" si="15"/>
        <v>0</v>
      </c>
      <c r="K132" s="162"/>
      <c r="L132" s="330"/>
      <c r="M132" s="162">
        <f t="shared" si="24"/>
        <v>0</v>
      </c>
      <c r="N132" s="330"/>
      <c r="O132" s="162">
        <f t="shared" si="25"/>
        <v>0</v>
      </c>
      <c r="P132" s="162">
        <f t="shared" si="26"/>
        <v>0</v>
      </c>
    </row>
    <row r="133" spans="2:16">
      <c r="B133" s="9" t="str">
        <f t="shared" si="14"/>
        <v/>
      </c>
      <c r="C133" s="157">
        <f>IF(D93="","-",+C132+1)</f>
        <v>2047</v>
      </c>
      <c r="D133" s="158">
        <f>IF(F132+SUM(E$99:E132)=D$92,F132,D$92-SUM(E$99:E132))</f>
        <v>235698</v>
      </c>
      <c r="E133" s="164">
        <f t="shared" si="16"/>
        <v>24083</v>
      </c>
      <c r="F133" s="163">
        <f t="shared" si="17"/>
        <v>211615</v>
      </c>
      <c r="G133" s="163">
        <f t="shared" si="18"/>
        <v>223656.5</v>
      </c>
      <c r="H133" s="167">
        <f t="shared" si="19"/>
        <v>47060.477302024578</v>
      </c>
      <c r="I133" s="312">
        <f t="shared" si="20"/>
        <v>47060.477302024578</v>
      </c>
      <c r="J133" s="162">
        <f t="shared" si="15"/>
        <v>0</v>
      </c>
      <c r="K133" s="162"/>
      <c r="L133" s="330"/>
      <c r="M133" s="162">
        <f t="shared" si="24"/>
        <v>0</v>
      </c>
      <c r="N133" s="330"/>
      <c r="O133" s="162">
        <f t="shared" si="25"/>
        <v>0</v>
      </c>
      <c r="P133" s="162">
        <f t="shared" si="26"/>
        <v>0</v>
      </c>
    </row>
    <row r="134" spans="2:16">
      <c r="B134" s="9" t="str">
        <f t="shared" si="14"/>
        <v/>
      </c>
      <c r="C134" s="157">
        <f>IF(D93="","-",+C133+1)</f>
        <v>2048</v>
      </c>
      <c r="D134" s="158">
        <f>IF(F133+SUM(E$99:E133)=D$92,F133,D$92-SUM(E$99:E133))</f>
        <v>211615</v>
      </c>
      <c r="E134" s="164">
        <f t="shared" si="16"/>
        <v>24083</v>
      </c>
      <c r="F134" s="163">
        <f t="shared" si="17"/>
        <v>187532</v>
      </c>
      <c r="G134" s="163">
        <f t="shared" si="18"/>
        <v>199573.5</v>
      </c>
      <c r="H134" s="167">
        <f t="shared" si="19"/>
        <v>44586.296646131916</v>
      </c>
      <c r="I134" s="312">
        <f t="shared" si="20"/>
        <v>44586.296646131916</v>
      </c>
      <c r="J134" s="162">
        <f t="shared" si="15"/>
        <v>0</v>
      </c>
      <c r="K134" s="162"/>
      <c r="L134" s="330"/>
      <c r="M134" s="162">
        <f t="shared" si="24"/>
        <v>0</v>
      </c>
      <c r="N134" s="330"/>
      <c r="O134" s="162">
        <f t="shared" si="25"/>
        <v>0</v>
      </c>
      <c r="P134" s="162">
        <f t="shared" si="26"/>
        <v>0</v>
      </c>
    </row>
    <row r="135" spans="2:16">
      <c r="B135" s="9" t="str">
        <f t="shared" si="14"/>
        <v/>
      </c>
      <c r="C135" s="157">
        <f>IF(D93="","-",+C134+1)</f>
        <v>2049</v>
      </c>
      <c r="D135" s="158">
        <f>IF(F134+SUM(E$99:E134)=D$92,F134,D$92-SUM(E$99:E134))</f>
        <v>187532</v>
      </c>
      <c r="E135" s="164">
        <f t="shared" si="16"/>
        <v>24083</v>
      </c>
      <c r="F135" s="163">
        <f t="shared" si="17"/>
        <v>163449</v>
      </c>
      <c r="G135" s="163">
        <f t="shared" si="18"/>
        <v>175490.5</v>
      </c>
      <c r="H135" s="167">
        <f t="shared" si="19"/>
        <v>42112.115990239254</v>
      </c>
      <c r="I135" s="312">
        <f t="shared" si="20"/>
        <v>42112.115990239254</v>
      </c>
      <c r="J135" s="162">
        <f t="shared" si="15"/>
        <v>0</v>
      </c>
      <c r="K135" s="162"/>
      <c r="L135" s="330"/>
      <c r="M135" s="162">
        <f t="shared" si="24"/>
        <v>0</v>
      </c>
      <c r="N135" s="330"/>
      <c r="O135" s="162">
        <f t="shared" si="25"/>
        <v>0</v>
      </c>
      <c r="P135" s="162">
        <f t="shared" si="26"/>
        <v>0</v>
      </c>
    </row>
    <row r="136" spans="2:16">
      <c r="B136" s="9" t="str">
        <f t="shared" si="14"/>
        <v/>
      </c>
      <c r="C136" s="157">
        <f>IF(D93="","-",+C135+1)</f>
        <v>2050</v>
      </c>
      <c r="D136" s="158">
        <f>IF(F135+SUM(E$99:E135)=D$92,F135,D$92-SUM(E$99:E135))</f>
        <v>163449</v>
      </c>
      <c r="E136" s="164">
        <f t="shared" si="16"/>
        <v>24083</v>
      </c>
      <c r="F136" s="163">
        <f t="shared" si="17"/>
        <v>139366</v>
      </c>
      <c r="G136" s="163">
        <f t="shared" si="18"/>
        <v>151407.5</v>
      </c>
      <c r="H136" s="167">
        <f t="shared" si="19"/>
        <v>39637.935334346585</v>
      </c>
      <c r="I136" s="312">
        <f t="shared" si="20"/>
        <v>39637.935334346585</v>
      </c>
      <c r="J136" s="162">
        <f t="shared" si="15"/>
        <v>0</v>
      </c>
      <c r="K136" s="162"/>
      <c r="L136" s="330"/>
      <c r="M136" s="162">
        <f t="shared" si="24"/>
        <v>0</v>
      </c>
      <c r="N136" s="330"/>
      <c r="O136" s="162">
        <f t="shared" si="25"/>
        <v>0</v>
      </c>
      <c r="P136" s="162">
        <f t="shared" si="26"/>
        <v>0</v>
      </c>
    </row>
    <row r="137" spans="2:16">
      <c r="B137" s="9" t="str">
        <f t="shared" si="14"/>
        <v/>
      </c>
      <c r="C137" s="157">
        <f>IF(D93="","-",+C136+1)</f>
        <v>2051</v>
      </c>
      <c r="D137" s="158">
        <f>IF(F136+SUM(E$99:E136)=D$92,F136,D$92-SUM(E$99:E136))</f>
        <v>139366</v>
      </c>
      <c r="E137" s="164">
        <f t="shared" si="16"/>
        <v>24083</v>
      </c>
      <c r="F137" s="163">
        <f t="shared" si="17"/>
        <v>115283</v>
      </c>
      <c r="G137" s="163">
        <f t="shared" si="18"/>
        <v>127324.5</v>
      </c>
      <c r="H137" s="167">
        <f t="shared" si="19"/>
        <v>37163.754678453915</v>
      </c>
      <c r="I137" s="312">
        <f t="shared" si="20"/>
        <v>37163.754678453915</v>
      </c>
      <c r="J137" s="162">
        <f t="shared" si="15"/>
        <v>0</v>
      </c>
      <c r="K137" s="162"/>
      <c r="L137" s="330"/>
      <c r="M137" s="162">
        <f t="shared" si="24"/>
        <v>0</v>
      </c>
      <c r="N137" s="330"/>
      <c r="O137" s="162">
        <f t="shared" si="25"/>
        <v>0</v>
      </c>
      <c r="P137" s="162">
        <f t="shared" si="26"/>
        <v>0</v>
      </c>
    </row>
    <row r="138" spans="2:16">
      <c r="B138" s="9" t="str">
        <f t="shared" si="14"/>
        <v/>
      </c>
      <c r="C138" s="157">
        <f>IF(D93="","-",+C137+1)</f>
        <v>2052</v>
      </c>
      <c r="D138" s="158">
        <f>IF(F137+SUM(E$99:E137)=D$92,F137,D$92-SUM(E$99:E137))</f>
        <v>115283</v>
      </c>
      <c r="E138" s="164">
        <f t="shared" si="16"/>
        <v>24083</v>
      </c>
      <c r="F138" s="163">
        <f t="shared" si="17"/>
        <v>91200</v>
      </c>
      <c r="G138" s="163">
        <f t="shared" si="18"/>
        <v>103241.5</v>
      </c>
      <c r="H138" s="167">
        <f t="shared" si="19"/>
        <v>34689.574022561254</v>
      </c>
      <c r="I138" s="312">
        <f t="shared" si="20"/>
        <v>34689.574022561254</v>
      </c>
      <c r="J138" s="162">
        <f t="shared" si="15"/>
        <v>0</v>
      </c>
      <c r="K138" s="162"/>
      <c r="L138" s="330"/>
      <c r="M138" s="162">
        <f t="shared" si="24"/>
        <v>0</v>
      </c>
      <c r="N138" s="330"/>
      <c r="O138" s="162">
        <f t="shared" si="25"/>
        <v>0</v>
      </c>
      <c r="P138" s="162">
        <f t="shared" si="26"/>
        <v>0</v>
      </c>
    </row>
    <row r="139" spans="2:16">
      <c r="B139" s="9" t="str">
        <f t="shared" si="14"/>
        <v/>
      </c>
      <c r="C139" s="157">
        <f>IF(D93="","-",+C138+1)</f>
        <v>2053</v>
      </c>
      <c r="D139" s="158">
        <f>IF(F138+SUM(E$99:E138)=D$92,F138,D$92-SUM(E$99:E138))</f>
        <v>91200</v>
      </c>
      <c r="E139" s="164">
        <f t="shared" si="16"/>
        <v>24083</v>
      </c>
      <c r="F139" s="163">
        <f t="shared" si="17"/>
        <v>67117</v>
      </c>
      <c r="G139" s="163">
        <f t="shared" si="18"/>
        <v>79158.5</v>
      </c>
      <c r="H139" s="167">
        <f t="shared" si="19"/>
        <v>32215.393366668588</v>
      </c>
      <c r="I139" s="312">
        <f t="shared" si="20"/>
        <v>32215.393366668588</v>
      </c>
      <c r="J139" s="162">
        <f t="shared" si="15"/>
        <v>0</v>
      </c>
      <c r="K139" s="162"/>
      <c r="L139" s="330"/>
      <c r="M139" s="162">
        <f t="shared" si="24"/>
        <v>0</v>
      </c>
      <c r="N139" s="330"/>
      <c r="O139" s="162">
        <f t="shared" si="25"/>
        <v>0</v>
      </c>
      <c r="P139" s="162">
        <f t="shared" si="26"/>
        <v>0</v>
      </c>
    </row>
    <row r="140" spans="2:16">
      <c r="B140" s="9" t="str">
        <f t="shared" si="14"/>
        <v/>
      </c>
      <c r="C140" s="157">
        <f>IF(D93="","-",+C139+1)</f>
        <v>2054</v>
      </c>
      <c r="D140" s="158">
        <f>IF(F139+SUM(E$99:E139)=D$92,F139,D$92-SUM(E$99:E139))</f>
        <v>67117</v>
      </c>
      <c r="E140" s="164">
        <f t="shared" si="16"/>
        <v>24083</v>
      </c>
      <c r="F140" s="163">
        <f t="shared" si="17"/>
        <v>43034</v>
      </c>
      <c r="G140" s="163">
        <f t="shared" si="18"/>
        <v>55075.5</v>
      </c>
      <c r="H140" s="167">
        <f t="shared" si="19"/>
        <v>29741.212710775922</v>
      </c>
      <c r="I140" s="312">
        <f t="shared" si="20"/>
        <v>29741.212710775922</v>
      </c>
      <c r="J140" s="162">
        <f t="shared" si="15"/>
        <v>0</v>
      </c>
      <c r="K140" s="162"/>
      <c r="L140" s="330"/>
      <c r="M140" s="162">
        <f t="shared" si="24"/>
        <v>0</v>
      </c>
      <c r="N140" s="330"/>
      <c r="O140" s="162">
        <f t="shared" si="25"/>
        <v>0</v>
      </c>
      <c r="P140" s="162">
        <f t="shared" si="26"/>
        <v>0</v>
      </c>
    </row>
    <row r="141" spans="2:16">
      <c r="B141" s="9" t="str">
        <f t="shared" si="14"/>
        <v/>
      </c>
      <c r="C141" s="157">
        <f>IF(D93="","-",+C140+1)</f>
        <v>2055</v>
      </c>
      <c r="D141" s="158">
        <f>IF(F140+SUM(E$99:E140)=D$92,F140,D$92-SUM(E$99:E140))</f>
        <v>43034</v>
      </c>
      <c r="E141" s="164">
        <f t="shared" si="16"/>
        <v>24083</v>
      </c>
      <c r="F141" s="163">
        <f t="shared" si="17"/>
        <v>18951</v>
      </c>
      <c r="G141" s="163">
        <f t="shared" si="18"/>
        <v>30992.5</v>
      </c>
      <c r="H141" s="167">
        <f t="shared" si="19"/>
        <v>27267.032054883257</v>
      </c>
      <c r="I141" s="312">
        <f t="shared" si="20"/>
        <v>27267.032054883257</v>
      </c>
      <c r="J141" s="162">
        <f t="shared" si="15"/>
        <v>0</v>
      </c>
      <c r="K141" s="162"/>
      <c r="L141" s="330"/>
      <c r="M141" s="162">
        <f t="shared" si="24"/>
        <v>0</v>
      </c>
      <c r="N141" s="330"/>
      <c r="O141" s="162">
        <f t="shared" si="25"/>
        <v>0</v>
      </c>
      <c r="P141" s="162">
        <f t="shared" si="26"/>
        <v>0</v>
      </c>
    </row>
    <row r="142" spans="2:16">
      <c r="B142" s="9" t="str">
        <f t="shared" si="14"/>
        <v/>
      </c>
      <c r="C142" s="157">
        <f>IF(D93="","-",+C141+1)</f>
        <v>2056</v>
      </c>
      <c r="D142" s="158">
        <f>IF(F141+SUM(E$99:E141)=D$92,F141,D$92-SUM(E$99:E141))</f>
        <v>18951</v>
      </c>
      <c r="E142" s="164">
        <f t="shared" si="16"/>
        <v>18951</v>
      </c>
      <c r="F142" s="163">
        <f t="shared" si="17"/>
        <v>0</v>
      </c>
      <c r="G142" s="163">
        <f t="shared" si="18"/>
        <v>9475.5</v>
      </c>
      <c r="H142" s="167">
        <f t="shared" si="19"/>
        <v>19924.470863468461</v>
      </c>
      <c r="I142" s="312">
        <f t="shared" si="20"/>
        <v>19924.470863468461</v>
      </c>
      <c r="J142" s="162">
        <f t="shared" si="15"/>
        <v>0</v>
      </c>
      <c r="K142" s="162"/>
      <c r="L142" s="330"/>
      <c r="M142" s="162">
        <f t="shared" si="24"/>
        <v>0</v>
      </c>
      <c r="N142" s="330"/>
      <c r="O142" s="162">
        <f t="shared" si="25"/>
        <v>0</v>
      </c>
      <c r="P142" s="162">
        <f t="shared" si="26"/>
        <v>0</v>
      </c>
    </row>
    <row r="143" spans="2:16">
      <c r="B143" s="9" t="str">
        <f t="shared" si="14"/>
        <v/>
      </c>
      <c r="C143" s="157">
        <f>IF(D93="","-",+C142+1)</f>
        <v>2057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167">
        <f t="shared" si="19"/>
        <v>0</v>
      </c>
      <c r="I143" s="312">
        <f t="shared" si="20"/>
        <v>0</v>
      </c>
      <c r="J143" s="162">
        <f t="shared" si="15"/>
        <v>0</v>
      </c>
      <c r="K143" s="162"/>
      <c r="L143" s="330"/>
      <c r="M143" s="162">
        <f t="shared" si="24"/>
        <v>0</v>
      </c>
      <c r="N143" s="330"/>
      <c r="O143" s="162">
        <f t="shared" si="25"/>
        <v>0</v>
      </c>
      <c r="P143" s="162">
        <f t="shared" si="26"/>
        <v>0</v>
      </c>
    </row>
    <row r="144" spans="2:16">
      <c r="B144" s="9" t="str">
        <f t="shared" si="14"/>
        <v/>
      </c>
      <c r="C144" s="157">
        <f>IF(D93="","-",+C143+1)</f>
        <v>2058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167">
        <f t="shared" si="19"/>
        <v>0</v>
      </c>
      <c r="I144" s="312">
        <f t="shared" si="20"/>
        <v>0</v>
      </c>
      <c r="J144" s="162">
        <f t="shared" si="15"/>
        <v>0</v>
      </c>
      <c r="K144" s="162"/>
      <c r="L144" s="330"/>
      <c r="M144" s="162">
        <f t="shared" si="24"/>
        <v>0</v>
      </c>
      <c r="N144" s="330"/>
      <c r="O144" s="162">
        <f t="shared" si="25"/>
        <v>0</v>
      </c>
      <c r="P144" s="162">
        <f t="shared" si="26"/>
        <v>0</v>
      </c>
    </row>
    <row r="145" spans="2:16">
      <c r="B145" s="9" t="str">
        <f t="shared" si="14"/>
        <v/>
      </c>
      <c r="C145" s="157">
        <f>IF(D93="","-",+C144+1)</f>
        <v>2059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167">
        <f t="shared" si="19"/>
        <v>0</v>
      </c>
      <c r="I145" s="312">
        <f t="shared" si="20"/>
        <v>0</v>
      </c>
      <c r="J145" s="162">
        <f t="shared" si="15"/>
        <v>0</v>
      </c>
      <c r="K145" s="162"/>
      <c r="L145" s="330"/>
      <c r="M145" s="162">
        <f t="shared" si="24"/>
        <v>0</v>
      </c>
      <c r="N145" s="330"/>
      <c r="O145" s="162">
        <f t="shared" si="25"/>
        <v>0</v>
      </c>
      <c r="P145" s="162">
        <f t="shared" si="26"/>
        <v>0</v>
      </c>
    </row>
    <row r="146" spans="2:16">
      <c r="B146" s="9" t="str">
        <f t="shared" si="14"/>
        <v/>
      </c>
      <c r="C146" s="157">
        <f>IF(D93="","-",+C145+1)</f>
        <v>2060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167">
        <f t="shared" si="19"/>
        <v>0</v>
      </c>
      <c r="I146" s="312">
        <f t="shared" si="20"/>
        <v>0</v>
      </c>
      <c r="J146" s="162">
        <f t="shared" si="15"/>
        <v>0</v>
      </c>
      <c r="K146" s="162"/>
      <c r="L146" s="330"/>
      <c r="M146" s="162">
        <f t="shared" si="24"/>
        <v>0</v>
      </c>
      <c r="N146" s="330"/>
      <c r="O146" s="162">
        <f t="shared" si="25"/>
        <v>0</v>
      </c>
      <c r="P146" s="162">
        <f t="shared" si="26"/>
        <v>0</v>
      </c>
    </row>
    <row r="147" spans="2:16">
      <c r="B147" s="9" t="str">
        <f t="shared" si="14"/>
        <v/>
      </c>
      <c r="C147" s="157">
        <f>IF(D93="","-",+C146+1)</f>
        <v>2061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167">
        <f t="shared" si="19"/>
        <v>0</v>
      </c>
      <c r="I147" s="312">
        <f t="shared" si="20"/>
        <v>0</v>
      </c>
      <c r="J147" s="162">
        <f t="shared" si="15"/>
        <v>0</v>
      </c>
      <c r="K147" s="162"/>
      <c r="L147" s="330"/>
      <c r="M147" s="162">
        <f t="shared" si="24"/>
        <v>0</v>
      </c>
      <c r="N147" s="330"/>
      <c r="O147" s="162">
        <f t="shared" si="25"/>
        <v>0</v>
      </c>
      <c r="P147" s="162">
        <f t="shared" si="26"/>
        <v>0</v>
      </c>
    </row>
    <row r="148" spans="2:16">
      <c r="B148" s="9" t="str">
        <f t="shared" si="14"/>
        <v/>
      </c>
      <c r="C148" s="157">
        <f>IF(D93="","-",+C147+1)</f>
        <v>2062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167">
        <f t="shared" si="19"/>
        <v>0</v>
      </c>
      <c r="I148" s="312">
        <f t="shared" si="20"/>
        <v>0</v>
      </c>
      <c r="J148" s="162">
        <f t="shared" si="15"/>
        <v>0</v>
      </c>
      <c r="K148" s="162"/>
      <c r="L148" s="330"/>
      <c r="M148" s="162">
        <f t="shared" si="24"/>
        <v>0</v>
      </c>
      <c r="N148" s="330"/>
      <c r="O148" s="162">
        <f t="shared" si="25"/>
        <v>0</v>
      </c>
      <c r="P148" s="162">
        <f t="shared" si="26"/>
        <v>0</v>
      </c>
    </row>
    <row r="149" spans="2:16">
      <c r="B149" s="9" t="str">
        <f t="shared" si="14"/>
        <v/>
      </c>
      <c r="C149" s="157">
        <f>IF(D93="","-",+C148+1)</f>
        <v>2063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167">
        <f t="shared" si="19"/>
        <v>0</v>
      </c>
      <c r="I149" s="312">
        <f t="shared" si="20"/>
        <v>0</v>
      </c>
      <c r="J149" s="162">
        <f t="shared" si="15"/>
        <v>0</v>
      </c>
      <c r="K149" s="162"/>
      <c r="L149" s="330"/>
      <c r="M149" s="162">
        <f t="shared" si="24"/>
        <v>0</v>
      </c>
      <c r="N149" s="330"/>
      <c r="O149" s="162">
        <f t="shared" si="25"/>
        <v>0</v>
      </c>
      <c r="P149" s="162">
        <f t="shared" si="26"/>
        <v>0</v>
      </c>
    </row>
    <row r="150" spans="2:16">
      <c r="B150" s="9" t="str">
        <f t="shared" si="14"/>
        <v/>
      </c>
      <c r="C150" s="157">
        <f>IF(D93="","-",+C149+1)</f>
        <v>2064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167">
        <f t="shared" si="19"/>
        <v>0</v>
      </c>
      <c r="I150" s="312">
        <f t="shared" si="20"/>
        <v>0</v>
      </c>
      <c r="J150" s="162">
        <f t="shared" si="15"/>
        <v>0</v>
      </c>
      <c r="K150" s="162"/>
      <c r="L150" s="330"/>
      <c r="M150" s="162">
        <f t="shared" si="24"/>
        <v>0</v>
      </c>
      <c r="N150" s="330"/>
      <c r="O150" s="162">
        <f t="shared" si="25"/>
        <v>0</v>
      </c>
      <c r="P150" s="162">
        <f t="shared" si="26"/>
        <v>0</v>
      </c>
    </row>
    <row r="151" spans="2:16">
      <c r="B151" s="9" t="str">
        <f t="shared" si="14"/>
        <v/>
      </c>
      <c r="C151" s="157">
        <f>IF(D93="","-",+C150+1)</f>
        <v>2065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167">
        <f t="shared" si="19"/>
        <v>0</v>
      </c>
      <c r="I151" s="312">
        <f t="shared" si="20"/>
        <v>0</v>
      </c>
      <c r="J151" s="162">
        <f t="shared" si="15"/>
        <v>0</v>
      </c>
      <c r="K151" s="162"/>
      <c r="L151" s="330"/>
      <c r="M151" s="162">
        <f t="shared" si="24"/>
        <v>0</v>
      </c>
      <c r="N151" s="330"/>
      <c r="O151" s="162">
        <f t="shared" si="25"/>
        <v>0</v>
      </c>
      <c r="P151" s="162">
        <f t="shared" si="26"/>
        <v>0</v>
      </c>
    </row>
    <row r="152" spans="2:16">
      <c r="B152" s="9" t="str">
        <f t="shared" si="14"/>
        <v/>
      </c>
      <c r="C152" s="157">
        <f>IF(D93="","-",+C151+1)</f>
        <v>2066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167">
        <f t="shared" si="19"/>
        <v>0</v>
      </c>
      <c r="I152" s="312">
        <f t="shared" si="20"/>
        <v>0</v>
      </c>
      <c r="J152" s="162">
        <f t="shared" si="15"/>
        <v>0</v>
      </c>
      <c r="K152" s="162"/>
      <c r="L152" s="330"/>
      <c r="M152" s="162">
        <f t="shared" si="24"/>
        <v>0</v>
      </c>
      <c r="N152" s="330"/>
      <c r="O152" s="162">
        <f t="shared" si="25"/>
        <v>0</v>
      </c>
      <c r="P152" s="162">
        <f t="shared" si="26"/>
        <v>0</v>
      </c>
    </row>
    <row r="153" spans="2:16">
      <c r="B153" s="9" t="str">
        <f t="shared" si="14"/>
        <v/>
      </c>
      <c r="C153" s="157">
        <f>IF(D93="","-",+C152+1)</f>
        <v>2067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167">
        <f t="shared" si="19"/>
        <v>0</v>
      </c>
      <c r="I153" s="312">
        <f t="shared" si="20"/>
        <v>0</v>
      </c>
      <c r="J153" s="162">
        <f t="shared" si="15"/>
        <v>0</v>
      </c>
      <c r="K153" s="162"/>
      <c r="L153" s="330"/>
      <c r="M153" s="162">
        <f t="shared" si="24"/>
        <v>0</v>
      </c>
      <c r="N153" s="330"/>
      <c r="O153" s="162">
        <f t="shared" si="25"/>
        <v>0</v>
      </c>
      <c r="P153" s="162">
        <f t="shared" si="26"/>
        <v>0</v>
      </c>
    </row>
    <row r="154" spans="2:16" ht="13.5" thickBot="1">
      <c r="B154" s="9" t="str">
        <f t="shared" si="14"/>
        <v/>
      </c>
      <c r="C154" s="168">
        <f>IF(D93="","-",+C153+1)</f>
        <v>2068</v>
      </c>
      <c r="D154" s="158">
        <f>IF(F153+SUM(E$99:E153)=D$92,F153,D$92-SUM(E$99:E153))</f>
        <v>0</v>
      </c>
      <c r="E154" s="164">
        <f t="shared" si="16"/>
        <v>0</v>
      </c>
      <c r="F154" s="163">
        <f t="shared" si="17"/>
        <v>0</v>
      </c>
      <c r="G154" s="163">
        <f t="shared" si="18"/>
        <v>0</v>
      </c>
      <c r="H154" s="167">
        <f t="shared" si="19"/>
        <v>0</v>
      </c>
      <c r="I154" s="312">
        <f t="shared" si="20"/>
        <v>0</v>
      </c>
      <c r="J154" s="162">
        <f t="shared" si="15"/>
        <v>0</v>
      </c>
      <c r="K154" s="162"/>
      <c r="L154" s="331"/>
      <c r="M154" s="173">
        <f t="shared" si="24"/>
        <v>0</v>
      </c>
      <c r="N154" s="331"/>
      <c r="O154" s="173">
        <f t="shared" si="25"/>
        <v>0</v>
      </c>
      <c r="P154" s="173">
        <f t="shared" si="26"/>
        <v>0</v>
      </c>
    </row>
    <row r="155" spans="2:16">
      <c r="C155" s="158" t="s">
        <v>77</v>
      </c>
      <c r="D155" s="115"/>
      <c r="E155" s="115">
        <f>SUM(E99:E154)</f>
        <v>1035552</v>
      </c>
      <c r="F155" s="115"/>
      <c r="G155" s="115"/>
      <c r="H155" s="115">
        <f>SUM(H99:H154)</f>
        <v>3491692.0212871078</v>
      </c>
      <c r="I155" s="115">
        <f>SUM(I99:I154)</f>
        <v>3491692.0212871078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view="pageBreakPreview" zoomScale="80" zoomScaleNormal="100" zoomScaleSheetLayoutView="80" workbookViewId="0">
      <selection activeCell="D21" sqref="D21:H2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15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323935.0793333333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323935.0793333333</v>
      </c>
      <c r="O6" s="1"/>
      <c r="P6" s="1"/>
    </row>
    <row r="7" spans="1:16" ht="13.5" thickBot="1">
      <c r="C7" s="127" t="s">
        <v>46</v>
      </c>
      <c r="D7" s="227" t="s">
        <v>253</v>
      </c>
      <c r="E7" s="385"/>
      <c r="F7" s="385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377" t="s">
        <v>252</v>
      </c>
      <c r="E9" s="406" t="s">
        <v>261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2246628.5699999998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2014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2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49925.079333333328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2014</v>
      </c>
      <c r="D17" s="413">
        <v>2295000</v>
      </c>
      <c r="E17" s="418">
        <v>36778.846153846156</v>
      </c>
      <c r="F17" s="413">
        <v>2258221.153846154</v>
      </c>
      <c r="G17" s="418">
        <v>347642.78736560291</v>
      </c>
      <c r="H17" s="416">
        <v>347642.78736560291</v>
      </c>
      <c r="I17" s="160">
        <v>0</v>
      </c>
      <c r="J17" s="160"/>
      <c r="K17" s="333">
        <f>G17</f>
        <v>347642.78736560291</v>
      </c>
      <c r="L17" s="417">
        <f>IF(K17&lt;&gt;0,+G17-K17,0)</f>
        <v>0</v>
      </c>
      <c r="M17" s="333">
        <f>H17</f>
        <v>347642.78736560291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13">
        <v>2258221.153846154</v>
      </c>
      <c r="E18" s="414">
        <v>43204.395576923074</v>
      </c>
      <c r="F18" s="413">
        <v>2215016.7582692308</v>
      </c>
      <c r="G18" s="414">
        <v>348592.42580485216</v>
      </c>
      <c r="H18" s="416">
        <v>348592.42580485216</v>
      </c>
      <c r="I18" s="160">
        <v>0</v>
      </c>
      <c r="J18" s="160"/>
      <c r="K18" s="333">
        <f>G18</f>
        <v>348592.42580485216</v>
      </c>
      <c r="L18" s="417">
        <f>IF(K18&lt;&gt;0,+G18-K18,0)</f>
        <v>0</v>
      </c>
      <c r="M18" s="333">
        <f>H18</f>
        <v>348592.42580485216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13">
        <v>2166645.3282692307</v>
      </c>
      <c r="E19" s="414">
        <v>43204.395576923074</v>
      </c>
      <c r="F19" s="413">
        <v>2123440.9326923075</v>
      </c>
      <c r="G19" s="414">
        <v>321714.3955769231</v>
      </c>
      <c r="H19" s="416">
        <v>321714.3955769231</v>
      </c>
      <c r="I19" s="160">
        <f>H19-G19</f>
        <v>0</v>
      </c>
      <c r="J19" s="160"/>
      <c r="K19" s="333">
        <f>G19</f>
        <v>321714.3955769231</v>
      </c>
      <c r="L19" s="417">
        <f>IF(K19&lt;&gt;0,+G19-K19,0)</f>
        <v>0</v>
      </c>
      <c r="M19" s="333">
        <f>H19</f>
        <v>321714.3955769231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2017</v>
      </c>
      <c r="D20" s="413">
        <v>2123440.9326923075</v>
      </c>
      <c r="E20" s="414">
        <v>48839.751521739126</v>
      </c>
      <c r="F20" s="413">
        <v>2074601.1811705683</v>
      </c>
      <c r="G20" s="414">
        <v>312854.75152173912</v>
      </c>
      <c r="H20" s="416">
        <v>312854.75152173912</v>
      </c>
      <c r="I20" s="160">
        <f t="shared" ref="I20:I72" si="1">H20-G20</f>
        <v>0</v>
      </c>
      <c r="J20" s="160"/>
      <c r="K20" s="333">
        <f>G20</f>
        <v>312854.75152173912</v>
      </c>
      <c r="L20" s="417">
        <f>IF(K20&lt;&gt;0,+G20-K20,0)</f>
        <v>0</v>
      </c>
      <c r="M20" s="333">
        <f>H20</f>
        <v>312854.75152173912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13">
        <v>2074601.1811705683</v>
      </c>
      <c r="E21" s="414">
        <v>49925.079333333328</v>
      </c>
      <c r="F21" s="413">
        <v>2024676.101837235</v>
      </c>
      <c r="G21" s="414">
        <v>323935.0793333333</v>
      </c>
      <c r="H21" s="416">
        <v>323935.0793333333</v>
      </c>
      <c r="I21" s="160">
        <f t="shared" si="1"/>
        <v>0</v>
      </c>
      <c r="J21" s="160"/>
      <c r="K21" s="333">
        <f>G21</f>
        <v>323935.0793333333</v>
      </c>
      <c r="L21" s="417">
        <f>IF(K21&lt;&gt;0,+G21-K21,0)</f>
        <v>0</v>
      </c>
      <c r="M21" s="333">
        <f>H21</f>
        <v>323935.0793333333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2024676.101837235</v>
      </c>
      <c r="E22" s="164">
        <f t="shared" ref="E22:E72" si="2">IF(+$I$14&lt;F21,$I$14,D22)</f>
        <v>49925.079333333328</v>
      </c>
      <c r="F22" s="163">
        <f t="shared" ref="F22:F72" si="3">+D22-E22</f>
        <v>1974751.0225039017</v>
      </c>
      <c r="G22" s="165">
        <f t="shared" ref="G22:G72" si="4">ROUND(I$12*F22,0)+E22</f>
        <v>317179.0793333333</v>
      </c>
      <c r="H22" s="147">
        <f t="shared" ref="H22:H72" si="5">ROUND(I$13*F22,0)+E22</f>
        <v>317179.0793333333</v>
      </c>
      <c r="I22" s="160">
        <f t="shared" si="1"/>
        <v>0</v>
      </c>
      <c r="J22" s="160"/>
      <c r="K22" s="330"/>
      <c r="L22" s="162">
        <f t="shared" ref="L22:L72" si="6">IF(K22&lt;&gt;0,+G22-K22,0)</f>
        <v>0</v>
      </c>
      <c r="M22" s="330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1974751.0225039017</v>
      </c>
      <c r="E23" s="164">
        <f t="shared" si="2"/>
        <v>49925.079333333328</v>
      </c>
      <c r="F23" s="163">
        <f t="shared" si="3"/>
        <v>1924825.9431705684</v>
      </c>
      <c r="G23" s="165">
        <f t="shared" si="4"/>
        <v>310422.0793333333</v>
      </c>
      <c r="H23" s="147">
        <f t="shared" si="5"/>
        <v>310422.0793333333</v>
      </c>
      <c r="I23" s="160">
        <f t="shared" si="1"/>
        <v>0</v>
      </c>
      <c r="J23" s="160"/>
      <c r="K23" s="330"/>
      <c r="L23" s="162">
        <f t="shared" si="6"/>
        <v>0</v>
      </c>
      <c r="M23" s="330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1924825.9431705684</v>
      </c>
      <c r="E24" s="164">
        <f t="shared" si="2"/>
        <v>49925.079333333328</v>
      </c>
      <c r="F24" s="163">
        <f t="shared" si="3"/>
        <v>1874900.8638372351</v>
      </c>
      <c r="G24" s="165">
        <f t="shared" si="4"/>
        <v>303665.0793333333</v>
      </c>
      <c r="H24" s="147">
        <f t="shared" si="5"/>
        <v>303665.0793333333</v>
      </c>
      <c r="I24" s="160">
        <f t="shared" si="1"/>
        <v>0</v>
      </c>
      <c r="J24" s="160"/>
      <c r="K24" s="330"/>
      <c r="L24" s="162">
        <f t="shared" si="6"/>
        <v>0</v>
      </c>
      <c r="M24" s="330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1874900.8638372351</v>
      </c>
      <c r="E25" s="164">
        <f t="shared" si="2"/>
        <v>49925.079333333328</v>
      </c>
      <c r="F25" s="163">
        <f t="shared" si="3"/>
        <v>1824975.7845039018</v>
      </c>
      <c r="G25" s="165">
        <f t="shared" si="4"/>
        <v>296909.0793333333</v>
      </c>
      <c r="H25" s="147">
        <f t="shared" si="5"/>
        <v>296909.0793333333</v>
      </c>
      <c r="I25" s="160">
        <f t="shared" si="1"/>
        <v>0</v>
      </c>
      <c r="J25" s="160"/>
      <c r="K25" s="330"/>
      <c r="L25" s="162">
        <f t="shared" si="6"/>
        <v>0</v>
      </c>
      <c r="M25" s="330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1824975.7845039018</v>
      </c>
      <c r="E26" s="164">
        <f t="shared" si="2"/>
        <v>49925.079333333328</v>
      </c>
      <c r="F26" s="163">
        <f t="shared" si="3"/>
        <v>1775050.7051705685</v>
      </c>
      <c r="G26" s="165">
        <f t="shared" si="4"/>
        <v>290152.0793333333</v>
      </c>
      <c r="H26" s="147">
        <f t="shared" si="5"/>
        <v>290152.0793333333</v>
      </c>
      <c r="I26" s="160">
        <f t="shared" si="1"/>
        <v>0</v>
      </c>
      <c r="J26" s="160"/>
      <c r="K26" s="330"/>
      <c r="L26" s="162">
        <f t="shared" si="6"/>
        <v>0</v>
      </c>
      <c r="M26" s="330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1775050.7051705685</v>
      </c>
      <c r="E27" s="164">
        <f t="shared" si="2"/>
        <v>49925.079333333328</v>
      </c>
      <c r="F27" s="163">
        <f t="shared" si="3"/>
        <v>1725125.6258372352</v>
      </c>
      <c r="G27" s="165">
        <f t="shared" si="4"/>
        <v>283396.0793333333</v>
      </c>
      <c r="H27" s="147">
        <f t="shared" si="5"/>
        <v>283396.0793333333</v>
      </c>
      <c r="I27" s="160">
        <f t="shared" si="1"/>
        <v>0</v>
      </c>
      <c r="J27" s="160"/>
      <c r="K27" s="330"/>
      <c r="L27" s="162">
        <f t="shared" si="6"/>
        <v>0</v>
      </c>
      <c r="M27" s="330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1725125.6258372352</v>
      </c>
      <c r="E28" s="164">
        <f t="shared" si="2"/>
        <v>49925.079333333328</v>
      </c>
      <c r="F28" s="163">
        <f t="shared" si="3"/>
        <v>1675200.5465039019</v>
      </c>
      <c r="G28" s="165">
        <f t="shared" si="4"/>
        <v>276639.0793333333</v>
      </c>
      <c r="H28" s="147">
        <f t="shared" si="5"/>
        <v>276639.0793333333</v>
      </c>
      <c r="I28" s="160">
        <f t="shared" si="1"/>
        <v>0</v>
      </c>
      <c r="J28" s="160"/>
      <c r="K28" s="330"/>
      <c r="L28" s="162">
        <f t="shared" si="6"/>
        <v>0</v>
      </c>
      <c r="M28" s="330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1675200.5465039019</v>
      </c>
      <c r="E29" s="164">
        <f t="shared" si="2"/>
        <v>49925.079333333328</v>
      </c>
      <c r="F29" s="163">
        <f t="shared" si="3"/>
        <v>1625275.4671705686</v>
      </c>
      <c r="G29" s="165">
        <f t="shared" si="4"/>
        <v>269882.0793333333</v>
      </c>
      <c r="H29" s="147">
        <f t="shared" si="5"/>
        <v>269882.0793333333</v>
      </c>
      <c r="I29" s="160">
        <f t="shared" si="1"/>
        <v>0</v>
      </c>
      <c r="J29" s="160"/>
      <c r="K29" s="330"/>
      <c r="L29" s="162">
        <f t="shared" si="6"/>
        <v>0</v>
      </c>
      <c r="M29" s="330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1625275.4671705686</v>
      </c>
      <c r="E30" s="164">
        <f t="shared" si="2"/>
        <v>49925.079333333328</v>
      </c>
      <c r="F30" s="163">
        <f t="shared" si="3"/>
        <v>1575350.3878372354</v>
      </c>
      <c r="G30" s="165">
        <f t="shared" si="4"/>
        <v>263126.0793333333</v>
      </c>
      <c r="H30" s="147">
        <f t="shared" si="5"/>
        <v>263126.0793333333</v>
      </c>
      <c r="I30" s="160">
        <f t="shared" si="1"/>
        <v>0</v>
      </c>
      <c r="J30" s="160"/>
      <c r="K30" s="330"/>
      <c r="L30" s="162">
        <f t="shared" si="6"/>
        <v>0</v>
      </c>
      <c r="M30" s="330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1575350.3878372354</v>
      </c>
      <c r="E31" s="164">
        <f t="shared" si="2"/>
        <v>49925.079333333328</v>
      </c>
      <c r="F31" s="163">
        <f t="shared" si="3"/>
        <v>1525425.3085039021</v>
      </c>
      <c r="G31" s="165">
        <f t="shared" si="4"/>
        <v>256369.07933333333</v>
      </c>
      <c r="H31" s="147">
        <f t="shared" si="5"/>
        <v>256369.07933333333</v>
      </c>
      <c r="I31" s="160">
        <f t="shared" si="1"/>
        <v>0</v>
      </c>
      <c r="J31" s="160"/>
      <c r="K31" s="330"/>
      <c r="L31" s="162">
        <f t="shared" si="6"/>
        <v>0</v>
      </c>
      <c r="M31" s="330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1525425.3085039021</v>
      </c>
      <c r="E32" s="164">
        <f t="shared" si="2"/>
        <v>49925.079333333328</v>
      </c>
      <c r="F32" s="163">
        <f t="shared" si="3"/>
        <v>1475500.2291705688</v>
      </c>
      <c r="G32" s="165">
        <f t="shared" si="4"/>
        <v>249612.07933333333</v>
      </c>
      <c r="H32" s="147">
        <f t="shared" si="5"/>
        <v>249612.07933333333</v>
      </c>
      <c r="I32" s="160">
        <f t="shared" si="1"/>
        <v>0</v>
      </c>
      <c r="J32" s="160"/>
      <c r="K32" s="330"/>
      <c r="L32" s="162">
        <f t="shared" si="6"/>
        <v>0</v>
      </c>
      <c r="M32" s="330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1475500.2291705688</v>
      </c>
      <c r="E33" s="164">
        <f t="shared" si="2"/>
        <v>49925.079333333328</v>
      </c>
      <c r="F33" s="163">
        <f t="shared" si="3"/>
        <v>1425575.1498372355</v>
      </c>
      <c r="G33" s="165">
        <f t="shared" si="4"/>
        <v>242856.07933333333</v>
      </c>
      <c r="H33" s="147">
        <f t="shared" si="5"/>
        <v>242856.07933333333</v>
      </c>
      <c r="I33" s="160">
        <f t="shared" si="1"/>
        <v>0</v>
      </c>
      <c r="J33" s="160"/>
      <c r="K33" s="330"/>
      <c r="L33" s="162">
        <f t="shared" si="6"/>
        <v>0</v>
      </c>
      <c r="M33" s="330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1425575.1498372355</v>
      </c>
      <c r="E34" s="164">
        <f t="shared" si="2"/>
        <v>49925.079333333328</v>
      </c>
      <c r="F34" s="163">
        <f t="shared" si="3"/>
        <v>1375650.0705039022</v>
      </c>
      <c r="G34" s="165">
        <f t="shared" si="4"/>
        <v>236099.07933333333</v>
      </c>
      <c r="H34" s="147">
        <f t="shared" si="5"/>
        <v>236099.07933333333</v>
      </c>
      <c r="I34" s="160">
        <f t="shared" si="1"/>
        <v>0</v>
      </c>
      <c r="J34" s="160"/>
      <c r="K34" s="330"/>
      <c r="L34" s="162">
        <f t="shared" si="6"/>
        <v>0</v>
      </c>
      <c r="M34" s="330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1375650.0705039022</v>
      </c>
      <c r="E35" s="164">
        <f t="shared" si="2"/>
        <v>49925.079333333328</v>
      </c>
      <c r="F35" s="163">
        <f t="shared" si="3"/>
        <v>1325724.9911705689</v>
      </c>
      <c r="G35" s="165">
        <f t="shared" si="4"/>
        <v>229343.07933333333</v>
      </c>
      <c r="H35" s="147">
        <f t="shared" si="5"/>
        <v>229343.07933333333</v>
      </c>
      <c r="I35" s="160">
        <f t="shared" si="1"/>
        <v>0</v>
      </c>
      <c r="J35" s="160"/>
      <c r="K35" s="330"/>
      <c r="L35" s="162">
        <f t="shared" si="6"/>
        <v>0</v>
      </c>
      <c r="M35" s="330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1325724.9911705689</v>
      </c>
      <c r="E36" s="164">
        <f t="shared" si="2"/>
        <v>49925.079333333328</v>
      </c>
      <c r="F36" s="163">
        <f t="shared" si="3"/>
        <v>1275799.9118372356</v>
      </c>
      <c r="G36" s="165">
        <f t="shared" si="4"/>
        <v>222586.07933333333</v>
      </c>
      <c r="H36" s="147">
        <f t="shared" si="5"/>
        <v>222586.07933333333</v>
      </c>
      <c r="I36" s="160">
        <f t="shared" si="1"/>
        <v>0</v>
      </c>
      <c r="J36" s="160"/>
      <c r="K36" s="330"/>
      <c r="L36" s="162">
        <f t="shared" si="6"/>
        <v>0</v>
      </c>
      <c r="M36" s="330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1275799.9118372356</v>
      </c>
      <c r="E37" s="164">
        <f t="shared" si="2"/>
        <v>49925.079333333328</v>
      </c>
      <c r="F37" s="163">
        <f t="shared" si="3"/>
        <v>1225874.8325039023</v>
      </c>
      <c r="G37" s="165">
        <f t="shared" si="4"/>
        <v>215829.07933333333</v>
      </c>
      <c r="H37" s="147">
        <f t="shared" si="5"/>
        <v>215829.07933333333</v>
      </c>
      <c r="I37" s="160">
        <f t="shared" si="1"/>
        <v>0</v>
      </c>
      <c r="J37" s="160"/>
      <c r="K37" s="330"/>
      <c r="L37" s="162">
        <f t="shared" si="6"/>
        <v>0</v>
      </c>
      <c r="M37" s="330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1225874.8325039023</v>
      </c>
      <c r="E38" s="164">
        <f t="shared" si="2"/>
        <v>49925.079333333328</v>
      </c>
      <c r="F38" s="163">
        <f t="shared" si="3"/>
        <v>1175949.753170569</v>
      </c>
      <c r="G38" s="165">
        <f t="shared" si="4"/>
        <v>209073.07933333333</v>
      </c>
      <c r="H38" s="147">
        <f t="shared" si="5"/>
        <v>209073.07933333333</v>
      </c>
      <c r="I38" s="160">
        <f t="shared" si="1"/>
        <v>0</v>
      </c>
      <c r="J38" s="160"/>
      <c r="K38" s="330"/>
      <c r="L38" s="162">
        <f t="shared" si="6"/>
        <v>0</v>
      </c>
      <c r="M38" s="330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1175949.753170569</v>
      </c>
      <c r="E39" s="164">
        <f t="shared" si="2"/>
        <v>49925.079333333328</v>
      </c>
      <c r="F39" s="163">
        <f t="shared" si="3"/>
        <v>1126024.6738372357</v>
      </c>
      <c r="G39" s="165">
        <f t="shared" si="4"/>
        <v>202316.07933333333</v>
      </c>
      <c r="H39" s="147">
        <f t="shared" si="5"/>
        <v>202316.07933333333</v>
      </c>
      <c r="I39" s="160">
        <f t="shared" si="1"/>
        <v>0</v>
      </c>
      <c r="J39" s="160"/>
      <c r="K39" s="330"/>
      <c r="L39" s="162">
        <f t="shared" si="6"/>
        <v>0</v>
      </c>
      <c r="M39" s="330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1126024.6738372357</v>
      </c>
      <c r="E40" s="164">
        <f t="shared" si="2"/>
        <v>49925.079333333328</v>
      </c>
      <c r="F40" s="163">
        <f t="shared" si="3"/>
        <v>1076099.5945039024</v>
      </c>
      <c r="G40" s="165">
        <f t="shared" si="4"/>
        <v>195559.07933333333</v>
      </c>
      <c r="H40" s="147">
        <f t="shared" si="5"/>
        <v>195559.07933333333</v>
      </c>
      <c r="I40" s="160">
        <f t="shared" si="1"/>
        <v>0</v>
      </c>
      <c r="J40" s="160"/>
      <c r="K40" s="330"/>
      <c r="L40" s="162">
        <f t="shared" si="6"/>
        <v>0</v>
      </c>
      <c r="M40" s="330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1076099.5945039024</v>
      </c>
      <c r="E41" s="164">
        <f t="shared" si="2"/>
        <v>49925.079333333328</v>
      </c>
      <c r="F41" s="163">
        <f t="shared" si="3"/>
        <v>1026174.5151705691</v>
      </c>
      <c r="G41" s="165">
        <f t="shared" si="4"/>
        <v>188803.07933333333</v>
      </c>
      <c r="H41" s="147">
        <f t="shared" si="5"/>
        <v>188803.07933333333</v>
      </c>
      <c r="I41" s="160">
        <f t="shared" si="1"/>
        <v>0</v>
      </c>
      <c r="J41" s="160"/>
      <c r="K41" s="330"/>
      <c r="L41" s="162">
        <f t="shared" si="6"/>
        <v>0</v>
      </c>
      <c r="M41" s="330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1026174.5151705691</v>
      </c>
      <c r="E42" s="164">
        <f t="shared" si="2"/>
        <v>49925.079333333328</v>
      </c>
      <c r="F42" s="163">
        <f t="shared" si="3"/>
        <v>976249.43583723577</v>
      </c>
      <c r="G42" s="165">
        <f t="shared" si="4"/>
        <v>182046.07933333333</v>
      </c>
      <c r="H42" s="147">
        <f t="shared" si="5"/>
        <v>182046.07933333333</v>
      </c>
      <c r="I42" s="160">
        <f t="shared" si="1"/>
        <v>0</v>
      </c>
      <c r="J42" s="160"/>
      <c r="K42" s="330"/>
      <c r="L42" s="162">
        <f t="shared" si="6"/>
        <v>0</v>
      </c>
      <c r="M42" s="330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976249.43583723577</v>
      </c>
      <c r="E43" s="164">
        <f t="shared" si="2"/>
        <v>49925.079333333328</v>
      </c>
      <c r="F43" s="163">
        <f t="shared" si="3"/>
        <v>926324.35650390247</v>
      </c>
      <c r="G43" s="165">
        <f t="shared" si="4"/>
        <v>175289.07933333333</v>
      </c>
      <c r="H43" s="147">
        <f t="shared" si="5"/>
        <v>175289.07933333333</v>
      </c>
      <c r="I43" s="160">
        <f t="shared" si="1"/>
        <v>0</v>
      </c>
      <c r="J43" s="160"/>
      <c r="K43" s="330"/>
      <c r="L43" s="162">
        <f t="shared" si="6"/>
        <v>0</v>
      </c>
      <c r="M43" s="330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926324.35650390247</v>
      </c>
      <c r="E44" s="164">
        <f t="shared" si="2"/>
        <v>49925.079333333328</v>
      </c>
      <c r="F44" s="163">
        <f t="shared" si="3"/>
        <v>876399.27717056917</v>
      </c>
      <c r="G44" s="165">
        <f t="shared" si="4"/>
        <v>168533.07933333333</v>
      </c>
      <c r="H44" s="147">
        <f t="shared" si="5"/>
        <v>168533.07933333333</v>
      </c>
      <c r="I44" s="160">
        <f t="shared" si="1"/>
        <v>0</v>
      </c>
      <c r="J44" s="160"/>
      <c r="K44" s="330"/>
      <c r="L44" s="162">
        <f t="shared" si="6"/>
        <v>0</v>
      </c>
      <c r="M44" s="330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876399.27717056917</v>
      </c>
      <c r="E45" s="164">
        <f t="shared" si="2"/>
        <v>49925.079333333328</v>
      </c>
      <c r="F45" s="163">
        <f t="shared" si="3"/>
        <v>826474.19783723587</v>
      </c>
      <c r="G45" s="165">
        <f t="shared" si="4"/>
        <v>161776.07933333333</v>
      </c>
      <c r="H45" s="147">
        <f t="shared" si="5"/>
        <v>161776.07933333333</v>
      </c>
      <c r="I45" s="160">
        <f t="shared" si="1"/>
        <v>0</v>
      </c>
      <c r="J45" s="160"/>
      <c r="K45" s="330"/>
      <c r="L45" s="162">
        <f t="shared" si="6"/>
        <v>0</v>
      </c>
      <c r="M45" s="330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826474.19783723587</v>
      </c>
      <c r="E46" s="164">
        <f t="shared" si="2"/>
        <v>49925.079333333328</v>
      </c>
      <c r="F46" s="163">
        <f t="shared" si="3"/>
        <v>776549.11850390257</v>
      </c>
      <c r="G46" s="165">
        <f t="shared" si="4"/>
        <v>155020.07933333333</v>
      </c>
      <c r="H46" s="147">
        <f t="shared" si="5"/>
        <v>155020.07933333333</v>
      </c>
      <c r="I46" s="160">
        <f t="shared" si="1"/>
        <v>0</v>
      </c>
      <c r="J46" s="160"/>
      <c r="K46" s="330"/>
      <c r="L46" s="162">
        <f t="shared" si="6"/>
        <v>0</v>
      </c>
      <c r="M46" s="330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776549.11850390257</v>
      </c>
      <c r="E47" s="164">
        <f t="shared" si="2"/>
        <v>49925.079333333328</v>
      </c>
      <c r="F47" s="163">
        <f t="shared" si="3"/>
        <v>726624.03917056927</v>
      </c>
      <c r="G47" s="165">
        <f t="shared" si="4"/>
        <v>148263.07933333333</v>
      </c>
      <c r="H47" s="147">
        <f t="shared" si="5"/>
        <v>148263.07933333333</v>
      </c>
      <c r="I47" s="160">
        <f t="shared" si="1"/>
        <v>0</v>
      </c>
      <c r="J47" s="160"/>
      <c r="K47" s="330"/>
      <c r="L47" s="162">
        <f t="shared" si="6"/>
        <v>0</v>
      </c>
      <c r="M47" s="330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726624.03917056927</v>
      </c>
      <c r="E48" s="164">
        <f t="shared" si="2"/>
        <v>49925.079333333328</v>
      </c>
      <c r="F48" s="163">
        <f t="shared" si="3"/>
        <v>676698.95983723598</v>
      </c>
      <c r="G48" s="165">
        <f t="shared" si="4"/>
        <v>141506.07933333333</v>
      </c>
      <c r="H48" s="147">
        <f t="shared" si="5"/>
        <v>141506.07933333333</v>
      </c>
      <c r="I48" s="160">
        <f t="shared" si="1"/>
        <v>0</v>
      </c>
      <c r="J48" s="160"/>
      <c r="K48" s="330"/>
      <c r="L48" s="162">
        <f t="shared" si="6"/>
        <v>0</v>
      </c>
      <c r="M48" s="330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676698.95983723598</v>
      </c>
      <c r="E49" s="164">
        <f t="shared" si="2"/>
        <v>49925.079333333328</v>
      </c>
      <c r="F49" s="163">
        <f t="shared" si="3"/>
        <v>626773.88050390268</v>
      </c>
      <c r="G49" s="165">
        <f t="shared" si="4"/>
        <v>134750.07933333333</v>
      </c>
      <c r="H49" s="147">
        <f t="shared" si="5"/>
        <v>134750.07933333333</v>
      </c>
      <c r="I49" s="160">
        <f t="shared" si="1"/>
        <v>0</v>
      </c>
      <c r="J49" s="160"/>
      <c r="K49" s="330"/>
      <c r="L49" s="162">
        <f t="shared" si="6"/>
        <v>0</v>
      </c>
      <c r="M49" s="330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626773.88050390268</v>
      </c>
      <c r="E50" s="164">
        <f t="shared" si="2"/>
        <v>49925.079333333328</v>
      </c>
      <c r="F50" s="163">
        <f t="shared" si="3"/>
        <v>576848.80117056938</v>
      </c>
      <c r="G50" s="165">
        <f t="shared" si="4"/>
        <v>127993.07933333333</v>
      </c>
      <c r="H50" s="147">
        <f t="shared" si="5"/>
        <v>127993.07933333333</v>
      </c>
      <c r="I50" s="160">
        <f t="shared" si="1"/>
        <v>0</v>
      </c>
      <c r="J50" s="160"/>
      <c r="K50" s="330"/>
      <c r="L50" s="162">
        <f t="shared" si="6"/>
        <v>0</v>
      </c>
      <c r="M50" s="330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576848.80117056938</v>
      </c>
      <c r="E51" s="164">
        <f t="shared" si="2"/>
        <v>49925.079333333328</v>
      </c>
      <c r="F51" s="163">
        <f t="shared" si="3"/>
        <v>526923.72183723608</v>
      </c>
      <c r="G51" s="165">
        <f t="shared" si="4"/>
        <v>121236.07933333333</v>
      </c>
      <c r="H51" s="147">
        <f t="shared" si="5"/>
        <v>121236.07933333333</v>
      </c>
      <c r="I51" s="160">
        <f t="shared" si="1"/>
        <v>0</v>
      </c>
      <c r="J51" s="160"/>
      <c r="K51" s="330"/>
      <c r="L51" s="162">
        <f t="shared" si="6"/>
        <v>0</v>
      </c>
      <c r="M51" s="330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526923.72183723608</v>
      </c>
      <c r="E52" s="164">
        <f t="shared" si="2"/>
        <v>49925.079333333328</v>
      </c>
      <c r="F52" s="163">
        <f t="shared" si="3"/>
        <v>476998.64250390278</v>
      </c>
      <c r="G52" s="165">
        <f t="shared" si="4"/>
        <v>114480.07933333333</v>
      </c>
      <c r="H52" s="147">
        <f t="shared" si="5"/>
        <v>114480.07933333333</v>
      </c>
      <c r="I52" s="160">
        <f t="shared" si="1"/>
        <v>0</v>
      </c>
      <c r="J52" s="160"/>
      <c r="K52" s="330"/>
      <c r="L52" s="162">
        <f t="shared" si="6"/>
        <v>0</v>
      </c>
      <c r="M52" s="330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476998.64250390278</v>
      </c>
      <c r="E53" s="164">
        <f t="shared" si="2"/>
        <v>49925.079333333328</v>
      </c>
      <c r="F53" s="163">
        <f t="shared" si="3"/>
        <v>427073.56317056948</v>
      </c>
      <c r="G53" s="165">
        <f t="shared" si="4"/>
        <v>107723.07933333333</v>
      </c>
      <c r="H53" s="147">
        <f t="shared" si="5"/>
        <v>107723.07933333333</v>
      </c>
      <c r="I53" s="160">
        <f t="shared" si="1"/>
        <v>0</v>
      </c>
      <c r="J53" s="160"/>
      <c r="K53" s="330"/>
      <c r="L53" s="162">
        <f t="shared" si="6"/>
        <v>0</v>
      </c>
      <c r="M53" s="330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427073.56317056948</v>
      </c>
      <c r="E54" s="164">
        <f t="shared" si="2"/>
        <v>49925.079333333328</v>
      </c>
      <c r="F54" s="163">
        <f t="shared" si="3"/>
        <v>377148.48383723618</v>
      </c>
      <c r="G54" s="165">
        <f t="shared" si="4"/>
        <v>100967.07933333333</v>
      </c>
      <c r="H54" s="147">
        <f t="shared" si="5"/>
        <v>100967.07933333333</v>
      </c>
      <c r="I54" s="160">
        <f t="shared" si="1"/>
        <v>0</v>
      </c>
      <c r="J54" s="160"/>
      <c r="K54" s="330"/>
      <c r="L54" s="162">
        <f t="shared" si="6"/>
        <v>0</v>
      </c>
      <c r="M54" s="330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377148.48383723618</v>
      </c>
      <c r="E55" s="164">
        <f t="shared" si="2"/>
        <v>49925.079333333328</v>
      </c>
      <c r="F55" s="163">
        <f t="shared" si="3"/>
        <v>327223.40450390289</v>
      </c>
      <c r="G55" s="165">
        <f t="shared" si="4"/>
        <v>94210.079333333328</v>
      </c>
      <c r="H55" s="147">
        <f t="shared" si="5"/>
        <v>94210.079333333328</v>
      </c>
      <c r="I55" s="160">
        <f t="shared" si="1"/>
        <v>0</v>
      </c>
      <c r="J55" s="160"/>
      <c r="K55" s="330"/>
      <c r="L55" s="162">
        <f t="shared" si="6"/>
        <v>0</v>
      </c>
      <c r="M55" s="330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327223.40450390289</v>
      </c>
      <c r="E56" s="164">
        <f t="shared" si="2"/>
        <v>49925.079333333328</v>
      </c>
      <c r="F56" s="163">
        <f t="shared" si="3"/>
        <v>277298.32517056959</v>
      </c>
      <c r="G56" s="165">
        <f t="shared" si="4"/>
        <v>87453.079333333328</v>
      </c>
      <c r="H56" s="147">
        <f t="shared" si="5"/>
        <v>87453.079333333328</v>
      </c>
      <c r="I56" s="160">
        <f t="shared" si="1"/>
        <v>0</v>
      </c>
      <c r="J56" s="160"/>
      <c r="K56" s="330"/>
      <c r="L56" s="162">
        <f t="shared" si="6"/>
        <v>0</v>
      </c>
      <c r="M56" s="330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277298.32517056959</v>
      </c>
      <c r="E57" s="164">
        <f t="shared" si="2"/>
        <v>49925.079333333328</v>
      </c>
      <c r="F57" s="163">
        <f t="shared" si="3"/>
        <v>227373.24583723626</v>
      </c>
      <c r="G57" s="165">
        <f t="shared" si="4"/>
        <v>80697.079333333328</v>
      </c>
      <c r="H57" s="147">
        <f t="shared" si="5"/>
        <v>80697.079333333328</v>
      </c>
      <c r="I57" s="160">
        <f t="shared" si="1"/>
        <v>0</v>
      </c>
      <c r="J57" s="160"/>
      <c r="K57" s="330"/>
      <c r="L57" s="162">
        <f t="shared" si="6"/>
        <v>0</v>
      </c>
      <c r="M57" s="330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227373.24583723626</v>
      </c>
      <c r="E58" s="164">
        <f t="shared" si="2"/>
        <v>49925.079333333328</v>
      </c>
      <c r="F58" s="163">
        <f t="shared" si="3"/>
        <v>177448.16650390293</v>
      </c>
      <c r="G58" s="165">
        <f t="shared" si="4"/>
        <v>73940.079333333328</v>
      </c>
      <c r="H58" s="147">
        <f t="shared" si="5"/>
        <v>73940.079333333328</v>
      </c>
      <c r="I58" s="160">
        <f t="shared" si="1"/>
        <v>0</v>
      </c>
      <c r="J58" s="160"/>
      <c r="K58" s="330"/>
      <c r="L58" s="162">
        <f t="shared" si="6"/>
        <v>0</v>
      </c>
      <c r="M58" s="330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177448.16650390293</v>
      </c>
      <c r="E59" s="164">
        <f t="shared" si="2"/>
        <v>49925.079333333328</v>
      </c>
      <c r="F59" s="163">
        <f t="shared" si="3"/>
        <v>127523.0871705696</v>
      </c>
      <c r="G59" s="165">
        <f t="shared" si="4"/>
        <v>67183.079333333328</v>
      </c>
      <c r="H59" s="147">
        <f t="shared" si="5"/>
        <v>67183.079333333328</v>
      </c>
      <c r="I59" s="160">
        <f t="shared" si="1"/>
        <v>0</v>
      </c>
      <c r="J59" s="160"/>
      <c r="K59" s="330"/>
      <c r="L59" s="162">
        <f t="shared" si="6"/>
        <v>0</v>
      </c>
      <c r="M59" s="330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127523.0871705696</v>
      </c>
      <c r="E60" s="164">
        <f t="shared" si="2"/>
        <v>49925.079333333328</v>
      </c>
      <c r="F60" s="163">
        <f t="shared" si="3"/>
        <v>77598.007837236277</v>
      </c>
      <c r="G60" s="165">
        <f t="shared" si="4"/>
        <v>60427.079333333328</v>
      </c>
      <c r="H60" s="147">
        <f t="shared" si="5"/>
        <v>60427.079333333328</v>
      </c>
      <c r="I60" s="160">
        <f t="shared" si="1"/>
        <v>0</v>
      </c>
      <c r="J60" s="160"/>
      <c r="K60" s="330"/>
      <c r="L60" s="162">
        <f t="shared" si="6"/>
        <v>0</v>
      </c>
      <c r="M60" s="330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77598.007837236277</v>
      </c>
      <c r="E61" s="164">
        <f t="shared" si="2"/>
        <v>49925.079333333328</v>
      </c>
      <c r="F61" s="163">
        <f t="shared" si="3"/>
        <v>27672.928503902949</v>
      </c>
      <c r="G61" s="165">
        <f t="shared" si="4"/>
        <v>53670.079333333328</v>
      </c>
      <c r="H61" s="147">
        <f t="shared" si="5"/>
        <v>53670.079333333328</v>
      </c>
      <c r="I61" s="160">
        <f t="shared" si="1"/>
        <v>0</v>
      </c>
      <c r="J61" s="160"/>
      <c r="K61" s="330"/>
      <c r="L61" s="162">
        <f t="shared" si="6"/>
        <v>0</v>
      </c>
      <c r="M61" s="330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27672.928503902949</v>
      </c>
      <c r="E62" s="164">
        <f t="shared" si="2"/>
        <v>27672.928503902949</v>
      </c>
      <c r="F62" s="163">
        <f t="shared" si="3"/>
        <v>0</v>
      </c>
      <c r="G62" s="165">
        <f t="shared" si="4"/>
        <v>27672.928503902949</v>
      </c>
      <c r="H62" s="147">
        <f t="shared" si="5"/>
        <v>27672.928503902949</v>
      </c>
      <c r="I62" s="160">
        <f t="shared" si="1"/>
        <v>0</v>
      </c>
      <c r="J62" s="160"/>
      <c r="K62" s="330"/>
      <c r="L62" s="162">
        <f t="shared" si="6"/>
        <v>0</v>
      </c>
      <c r="M62" s="330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0"/>
      <c r="L63" s="162">
        <f t="shared" si="6"/>
        <v>0</v>
      </c>
      <c r="M63" s="330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0"/>
      <c r="L64" s="162">
        <f t="shared" si="6"/>
        <v>0</v>
      </c>
      <c r="M64" s="330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0"/>
      <c r="L65" s="162">
        <f t="shared" si="6"/>
        <v>0</v>
      </c>
      <c r="M65" s="330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0"/>
      <c r="L66" s="162">
        <f t="shared" si="6"/>
        <v>0</v>
      </c>
      <c r="M66" s="330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0"/>
      <c r="L67" s="162">
        <f t="shared" si="6"/>
        <v>0</v>
      </c>
      <c r="M67" s="330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0"/>
      <c r="L68" s="162">
        <f t="shared" si="6"/>
        <v>0</v>
      </c>
      <c r="M68" s="330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0"/>
      <c r="L69" s="162">
        <f t="shared" si="6"/>
        <v>0</v>
      </c>
      <c r="M69" s="330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0"/>
      <c r="L70" s="162">
        <f t="shared" si="6"/>
        <v>0</v>
      </c>
      <c r="M70" s="330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0"/>
      <c r="L71" s="162">
        <f t="shared" si="6"/>
        <v>0</v>
      </c>
      <c r="M71" s="330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3">
        <f>IF(F71+SUM(E$17:E71)=D$10,F71,D$10-SUM(E$17:E71))</f>
        <v>0</v>
      </c>
      <c r="E72" s="164">
        <f t="shared" si="2"/>
        <v>0</v>
      </c>
      <c r="F72" s="163">
        <f t="shared" si="3"/>
        <v>0</v>
      </c>
      <c r="G72" s="165">
        <f t="shared" si="4"/>
        <v>0</v>
      </c>
      <c r="H72" s="147">
        <f t="shared" si="5"/>
        <v>0</v>
      </c>
      <c r="I72" s="160">
        <f t="shared" si="1"/>
        <v>0</v>
      </c>
      <c r="J72" s="160"/>
      <c r="K72" s="331"/>
      <c r="L72" s="173">
        <f t="shared" si="6"/>
        <v>0</v>
      </c>
      <c r="M72" s="331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77</v>
      </c>
      <c r="D73" s="115"/>
      <c r="E73" s="115">
        <f>SUM(E17:E72)</f>
        <v>2246628.5699999998</v>
      </c>
      <c r="F73" s="115"/>
      <c r="G73" s="115">
        <f>SUM(G17:G72)</f>
        <v>9099392.541439686</v>
      </c>
      <c r="H73" s="115">
        <f>SUM(H17:H72)</f>
        <v>9099392.541439686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15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323935.0793333333</v>
      </c>
      <c r="N87" s="202">
        <f>IF(J92&lt;D11,0,VLOOKUP(J92,C17:O72,11))</f>
        <v>323935.0793333333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262199.22655399318</v>
      </c>
      <c r="N88" s="204">
        <f>IF(J92&lt;D11,0,VLOOKUP(J92,C99:P154,7))</f>
        <v>262199.22655399318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Locust Grove to Lone Star 115 kV Rebuild 2.1 miles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-61735.852779340115</v>
      </c>
      <c r="N89" s="207">
        <f>+N88-N87</f>
        <v>-61735.852779340115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TP2009093</v>
      </c>
      <c r="E91" s="210" t="str">
        <f>E9</f>
        <v xml:space="preserve">  SPP Project ID = 649</v>
      </c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f>+D10</f>
        <v>2246628.5699999998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434" t="s">
        <v>272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+D12</f>
        <v>2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52247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 t="str">
        <f>IF(D93= "","-",D93)</f>
        <v>2014</v>
      </c>
      <c r="D99" s="413">
        <v>0</v>
      </c>
      <c r="E99" s="414">
        <v>36003.333333333336</v>
      </c>
      <c r="F99" s="415">
        <v>2210625.2366666663</v>
      </c>
      <c r="G99" s="425">
        <v>1105312.6183333332</v>
      </c>
      <c r="H99" s="426">
        <v>191405.76922123961</v>
      </c>
      <c r="I99" s="427">
        <v>191405.76922123961</v>
      </c>
      <c r="J99" s="162">
        <v>0</v>
      </c>
      <c r="K99" s="162"/>
      <c r="L99" s="333">
        <f>H99</f>
        <v>191405.76922123961</v>
      </c>
      <c r="M99" s="175">
        <f>IF(L99&lt;&gt;0,+H99-L99,0)</f>
        <v>0</v>
      </c>
      <c r="N99" s="333">
        <f>I99</f>
        <v>191405.76922123961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/>
      </c>
      <c r="C100" s="157">
        <f>IF(D93="","-",+C99+1)</f>
        <v>2015</v>
      </c>
      <c r="D100" s="413">
        <v>2210625.2366666663</v>
      </c>
      <c r="E100" s="414">
        <v>43204</v>
      </c>
      <c r="F100" s="415">
        <v>2167421.2366666663</v>
      </c>
      <c r="G100" s="415">
        <v>2189023.2366666663</v>
      </c>
      <c r="H100" s="426">
        <v>341878.62002899748</v>
      </c>
      <c r="I100" s="427">
        <v>341878.62002899748</v>
      </c>
      <c r="J100" s="162">
        <f>+I100-H100</f>
        <v>0</v>
      </c>
      <c r="K100" s="162"/>
      <c r="L100" s="333">
        <f>H100</f>
        <v>341878.62002899748</v>
      </c>
      <c r="M100" s="175">
        <f>IF(L100&lt;&gt;0,+H100-L100,0)</f>
        <v>0</v>
      </c>
      <c r="N100" s="333">
        <f>I100</f>
        <v>341878.62002899748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/>
      </c>
      <c r="C101" s="157">
        <f>IF(D93="","-",+C100+1)</f>
        <v>2016</v>
      </c>
      <c r="D101" s="413">
        <v>2167421.2366666663</v>
      </c>
      <c r="E101" s="414">
        <v>48840</v>
      </c>
      <c r="F101" s="415">
        <v>2118581.2366666663</v>
      </c>
      <c r="G101" s="415">
        <v>2143001.2366666663</v>
      </c>
      <c r="H101" s="426">
        <v>325106.60926354182</v>
      </c>
      <c r="I101" s="427">
        <v>325106.60926354182</v>
      </c>
      <c r="J101" s="162">
        <f t="shared" ref="J101:J154" si="10">+I101-H101</f>
        <v>0</v>
      </c>
      <c r="K101" s="162"/>
      <c r="L101" s="333">
        <f>H101</f>
        <v>325106.60926354182</v>
      </c>
      <c r="M101" s="175">
        <f>IF(L101&lt;&gt;0,+H101-L101,0)</f>
        <v>0</v>
      </c>
      <c r="N101" s="333">
        <f>I101</f>
        <v>325106.60926354182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413">
        <v>2118581.2366666663</v>
      </c>
      <c r="E102" s="414">
        <v>48840</v>
      </c>
      <c r="F102" s="415">
        <v>2069741.2366666663</v>
      </c>
      <c r="G102" s="415">
        <v>2094161.2366666663</v>
      </c>
      <c r="H102" s="426">
        <v>314489.63330060086</v>
      </c>
      <c r="I102" s="427">
        <v>314489.63330060086</v>
      </c>
      <c r="J102" s="162">
        <f t="shared" si="10"/>
        <v>0</v>
      </c>
      <c r="K102" s="162"/>
      <c r="L102" s="333">
        <f>H102</f>
        <v>314489.63330060086</v>
      </c>
      <c r="M102" s="175">
        <f>IF(L102&lt;&gt;0,+H102-L102,0)</f>
        <v>0</v>
      </c>
      <c r="N102" s="333">
        <f>I102</f>
        <v>314489.63330060086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2069741.2366666663</v>
      </c>
      <c r="E103" s="164">
        <f t="shared" ref="E103:E154" si="11">IF(+J$96&lt;F102,J$96,D103)</f>
        <v>52247</v>
      </c>
      <c r="F103" s="163">
        <f t="shared" ref="F103:F154" si="12">+D103-E103</f>
        <v>2017494.2366666663</v>
      </c>
      <c r="G103" s="163">
        <f t="shared" ref="G103:G154" si="13">+(F103+D103)/2</f>
        <v>2043617.7366666663</v>
      </c>
      <c r="H103" s="167">
        <f t="shared" ref="H103:H154" si="14">+J$94*G103+E103</f>
        <v>262199.22655399318</v>
      </c>
      <c r="I103" s="312">
        <f t="shared" ref="I103:I154" si="15">+J$95*G103+E103</f>
        <v>262199.22655399318</v>
      </c>
      <c r="J103" s="162">
        <f t="shared" si="10"/>
        <v>0</v>
      </c>
      <c r="K103" s="162"/>
      <c r="L103" s="330"/>
      <c r="M103" s="162">
        <f t="shared" ref="M103:M130" si="16">IF(L103&lt;&gt;0,+H103-L103,0)</f>
        <v>0</v>
      </c>
      <c r="N103" s="330"/>
      <c r="O103" s="162">
        <f t="shared" ref="O103:O130" si="17">IF(N103&lt;&gt;0,+I103-N103,0)</f>
        <v>0</v>
      </c>
      <c r="P103" s="162">
        <f t="shared" ref="P103:P130" si="18">+O103-M103</f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2017494.2366666663</v>
      </c>
      <c r="E104" s="164">
        <f t="shared" si="11"/>
        <v>52247</v>
      </c>
      <c r="F104" s="163">
        <f t="shared" si="12"/>
        <v>1965247.2366666663</v>
      </c>
      <c r="G104" s="163">
        <f t="shared" si="13"/>
        <v>1991370.7366666663</v>
      </c>
      <c r="H104" s="167">
        <f t="shared" si="14"/>
        <v>256831.60139398719</v>
      </c>
      <c r="I104" s="312">
        <f t="shared" si="15"/>
        <v>256831.60139398719</v>
      </c>
      <c r="J104" s="162">
        <f t="shared" si="10"/>
        <v>0</v>
      </c>
      <c r="K104" s="162"/>
      <c r="L104" s="330"/>
      <c r="M104" s="162">
        <f t="shared" si="16"/>
        <v>0</v>
      </c>
      <c r="N104" s="330"/>
      <c r="O104" s="162">
        <f t="shared" si="17"/>
        <v>0</v>
      </c>
      <c r="P104" s="162">
        <f t="shared" si="18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1965247.2366666663</v>
      </c>
      <c r="E105" s="164">
        <f t="shared" si="11"/>
        <v>52247</v>
      </c>
      <c r="F105" s="163">
        <f t="shared" si="12"/>
        <v>1913000.2366666663</v>
      </c>
      <c r="G105" s="163">
        <f t="shared" si="13"/>
        <v>1939123.7366666663</v>
      </c>
      <c r="H105" s="167">
        <f t="shared" si="14"/>
        <v>251463.9762339812</v>
      </c>
      <c r="I105" s="312">
        <f t="shared" si="15"/>
        <v>251463.9762339812</v>
      </c>
      <c r="J105" s="162">
        <f t="shared" si="10"/>
        <v>0</v>
      </c>
      <c r="K105" s="162"/>
      <c r="L105" s="330"/>
      <c r="M105" s="162">
        <f t="shared" si="16"/>
        <v>0</v>
      </c>
      <c r="N105" s="330"/>
      <c r="O105" s="162">
        <f t="shared" si="17"/>
        <v>0</v>
      </c>
      <c r="P105" s="162">
        <f t="shared" si="18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1913000.2366666663</v>
      </c>
      <c r="E106" s="164">
        <f t="shared" si="11"/>
        <v>52247</v>
      </c>
      <c r="F106" s="163">
        <f t="shared" si="12"/>
        <v>1860753.2366666663</v>
      </c>
      <c r="G106" s="163">
        <f t="shared" si="13"/>
        <v>1886876.7366666663</v>
      </c>
      <c r="H106" s="167">
        <f t="shared" si="14"/>
        <v>246096.35107397521</v>
      </c>
      <c r="I106" s="312">
        <f t="shared" si="15"/>
        <v>246096.35107397521</v>
      </c>
      <c r="J106" s="162">
        <f t="shared" si="10"/>
        <v>0</v>
      </c>
      <c r="K106" s="162"/>
      <c r="L106" s="330"/>
      <c r="M106" s="162">
        <f t="shared" si="16"/>
        <v>0</v>
      </c>
      <c r="N106" s="330"/>
      <c r="O106" s="162">
        <f t="shared" si="17"/>
        <v>0</v>
      </c>
      <c r="P106" s="162">
        <f t="shared" si="18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1860753.2366666663</v>
      </c>
      <c r="E107" s="164">
        <f t="shared" si="11"/>
        <v>52247</v>
      </c>
      <c r="F107" s="163">
        <f t="shared" si="12"/>
        <v>1808506.2366666663</v>
      </c>
      <c r="G107" s="163">
        <f t="shared" si="13"/>
        <v>1834629.7366666663</v>
      </c>
      <c r="H107" s="167">
        <f t="shared" si="14"/>
        <v>240728.72591396925</v>
      </c>
      <c r="I107" s="312">
        <f t="shared" si="15"/>
        <v>240728.72591396925</v>
      </c>
      <c r="J107" s="162">
        <f t="shared" si="10"/>
        <v>0</v>
      </c>
      <c r="K107" s="162"/>
      <c r="L107" s="330"/>
      <c r="M107" s="162">
        <f t="shared" si="16"/>
        <v>0</v>
      </c>
      <c r="N107" s="330"/>
      <c r="O107" s="162">
        <f t="shared" si="17"/>
        <v>0</v>
      </c>
      <c r="P107" s="162">
        <f t="shared" si="18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1808506.2366666663</v>
      </c>
      <c r="E108" s="164">
        <f t="shared" si="11"/>
        <v>52247</v>
      </c>
      <c r="F108" s="163">
        <f t="shared" si="12"/>
        <v>1756259.2366666663</v>
      </c>
      <c r="G108" s="163">
        <f t="shared" si="13"/>
        <v>1782382.7366666663</v>
      </c>
      <c r="H108" s="167">
        <f t="shared" si="14"/>
        <v>235361.10075396326</v>
      </c>
      <c r="I108" s="312">
        <f t="shared" si="15"/>
        <v>235361.10075396326</v>
      </c>
      <c r="J108" s="162">
        <f t="shared" si="10"/>
        <v>0</v>
      </c>
      <c r="K108" s="162"/>
      <c r="L108" s="330"/>
      <c r="M108" s="162">
        <f t="shared" si="16"/>
        <v>0</v>
      </c>
      <c r="N108" s="330"/>
      <c r="O108" s="162">
        <f t="shared" si="17"/>
        <v>0</v>
      </c>
      <c r="P108" s="162">
        <f t="shared" si="18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1756259.2366666663</v>
      </c>
      <c r="E109" s="164">
        <f t="shared" si="11"/>
        <v>52247</v>
      </c>
      <c r="F109" s="163">
        <f t="shared" si="12"/>
        <v>1704012.2366666663</v>
      </c>
      <c r="G109" s="163">
        <f t="shared" si="13"/>
        <v>1730135.7366666663</v>
      </c>
      <c r="H109" s="167">
        <f t="shared" si="14"/>
        <v>229993.47559395726</v>
      </c>
      <c r="I109" s="312">
        <f t="shared" si="15"/>
        <v>229993.47559395726</v>
      </c>
      <c r="J109" s="162">
        <f t="shared" si="10"/>
        <v>0</v>
      </c>
      <c r="K109" s="162"/>
      <c r="L109" s="330"/>
      <c r="M109" s="162">
        <f t="shared" si="16"/>
        <v>0</v>
      </c>
      <c r="N109" s="330"/>
      <c r="O109" s="162">
        <f t="shared" si="17"/>
        <v>0</v>
      </c>
      <c r="P109" s="162">
        <f t="shared" si="18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1704012.2366666663</v>
      </c>
      <c r="E110" s="164">
        <f t="shared" si="11"/>
        <v>52247</v>
      </c>
      <c r="F110" s="163">
        <f t="shared" si="12"/>
        <v>1651765.2366666663</v>
      </c>
      <c r="G110" s="163">
        <f t="shared" si="13"/>
        <v>1677888.7366666663</v>
      </c>
      <c r="H110" s="167">
        <f t="shared" si="14"/>
        <v>224625.85043395127</v>
      </c>
      <c r="I110" s="312">
        <f t="shared" si="15"/>
        <v>224625.85043395127</v>
      </c>
      <c r="J110" s="162">
        <f t="shared" si="10"/>
        <v>0</v>
      </c>
      <c r="K110" s="162"/>
      <c r="L110" s="330"/>
      <c r="M110" s="162">
        <f t="shared" si="16"/>
        <v>0</v>
      </c>
      <c r="N110" s="330"/>
      <c r="O110" s="162">
        <f t="shared" si="17"/>
        <v>0</v>
      </c>
      <c r="P110" s="162">
        <f t="shared" si="18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1651765.2366666663</v>
      </c>
      <c r="E111" s="164">
        <f t="shared" si="11"/>
        <v>52247</v>
      </c>
      <c r="F111" s="163">
        <f t="shared" si="12"/>
        <v>1599518.2366666663</v>
      </c>
      <c r="G111" s="163">
        <f t="shared" si="13"/>
        <v>1625641.7366666663</v>
      </c>
      <c r="H111" s="167">
        <f t="shared" si="14"/>
        <v>219258.22527394531</v>
      </c>
      <c r="I111" s="312">
        <f t="shared" si="15"/>
        <v>219258.22527394531</v>
      </c>
      <c r="J111" s="162">
        <f t="shared" si="10"/>
        <v>0</v>
      </c>
      <c r="K111" s="162"/>
      <c r="L111" s="330"/>
      <c r="M111" s="162">
        <f t="shared" si="16"/>
        <v>0</v>
      </c>
      <c r="N111" s="330"/>
      <c r="O111" s="162">
        <f t="shared" si="17"/>
        <v>0</v>
      </c>
      <c r="P111" s="162">
        <f t="shared" si="18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1599518.2366666663</v>
      </c>
      <c r="E112" s="164">
        <f t="shared" si="11"/>
        <v>52247</v>
      </c>
      <c r="F112" s="163">
        <f t="shared" si="12"/>
        <v>1547271.2366666663</v>
      </c>
      <c r="G112" s="163">
        <f t="shared" si="13"/>
        <v>1573394.7366666663</v>
      </c>
      <c r="H112" s="167">
        <f t="shared" si="14"/>
        <v>213890.60011393932</v>
      </c>
      <c r="I112" s="312">
        <f t="shared" si="15"/>
        <v>213890.60011393932</v>
      </c>
      <c r="J112" s="162">
        <f t="shared" si="10"/>
        <v>0</v>
      </c>
      <c r="K112" s="162"/>
      <c r="L112" s="330"/>
      <c r="M112" s="162">
        <f t="shared" si="16"/>
        <v>0</v>
      </c>
      <c r="N112" s="330"/>
      <c r="O112" s="162">
        <f t="shared" si="17"/>
        <v>0</v>
      </c>
      <c r="P112" s="162">
        <f t="shared" si="18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1547271.2366666663</v>
      </c>
      <c r="E113" s="164">
        <f t="shared" si="11"/>
        <v>52247</v>
      </c>
      <c r="F113" s="163">
        <f t="shared" si="12"/>
        <v>1495024.2366666663</v>
      </c>
      <c r="G113" s="163">
        <f t="shared" si="13"/>
        <v>1521147.7366666663</v>
      </c>
      <c r="H113" s="167">
        <f t="shared" si="14"/>
        <v>208522.97495393333</v>
      </c>
      <c r="I113" s="312">
        <f t="shared" si="15"/>
        <v>208522.97495393333</v>
      </c>
      <c r="J113" s="162">
        <f t="shared" si="10"/>
        <v>0</v>
      </c>
      <c r="K113" s="162"/>
      <c r="L113" s="330"/>
      <c r="M113" s="162">
        <f t="shared" si="16"/>
        <v>0</v>
      </c>
      <c r="N113" s="330"/>
      <c r="O113" s="162">
        <f t="shared" si="17"/>
        <v>0</v>
      </c>
      <c r="P113" s="162">
        <f t="shared" si="18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1495024.2366666663</v>
      </c>
      <c r="E114" s="164">
        <f t="shared" si="11"/>
        <v>52247</v>
      </c>
      <c r="F114" s="163">
        <f t="shared" si="12"/>
        <v>1442777.2366666663</v>
      </c>
      <c r="G114" s="163">
        <f t="shared" si="13"/>
        <v>1468900.7366666663</v>
      </c>
      <c r="H114" s="167">
        <f t="shared" si="14"/>
        <v>203155.34979392734</v>
      </c>
      <c r="I114" s="312">
        <f t="shared" si="15"/>
        <v>203155.34979392734</v>
      </c>
      <c r="J114" s="162">
        <f t="shared" si="10"/>
        <v>0</v>
      </c>
      <c r="K114" s="162"/>
      <c r="L114" s="330"/>
      <c r="M114" s="162">
        <f t="shared" si="16"/>
        <v>0</v>
      </c>
      <c r="N114" s="330"/>
      <c r="O114" s="162">
        <f t="shared" si="17"/>
        <v>0</v>
      </c>
      <c r="P114" s="162">
        <f t="shared" si="18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1442777.2366666663</v>
      </c>
      <c r="E115" s="164">
        <f t="shared" si="11"/>
        <v>52247</v>
      </c>
      <c r="F115" s="163">
        <f t="shared" si="12"/>
        <v>1390530.2366666663</v>
      </c>
      <c r="G115" s="163">
        <f t="shared" si="13"/>
        <v>1416653.7366666663</v>
      </c>
      <c r="H115" s="167">
        <f t="shared" si="14"/>
        <v>197787.72463392137</v>
      </c>
      <c r="I115" s="312">
        <f t="shared" si="15"/>
        <v>197787.72463392137</v>
      </c>
      <c r="J115" s="162">
        <f t="shared" si="10"/>
        <v>0</v>
      </c>
      <c r="K115" s="162"/>
      <c r="L115" s="330"/>
      <c r="M115" s="162">
        <f t="shared" si="16"/>
        <v>0</v>
      </c>
      <c r="N115" s="330"/>
      <c r="O115" s="162">
        <f t="shared" si="17"/>
        <v>0</v>
      </c>
      <c r="P115" s="162">
        <f t="shared" si="18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1390530.2366666663</v>
      </c>
      <c r="E116" s="164">
        <f t="shared" si="11"/>
        <v>52247</v>
      </c>
      <c r="F116" s="163">
        <f t="shared" si="12"/>
        <v>1338283.2366666663</v>
      </c>
      <c r="G116" s="163">
        <f t="shared" si="13"/>
        <v>1364406.7366666663</v>
      </c>
      <c r="H116" s="167">
        <f t="shared" si="14"/>
        <v>192420.09947391538</v>
      </c>
      <c r="I116" s="312">
        <f t="shared" si="15"/>
        <v>192420.09947391538</v>
      </c>
      <c r="J116" s="162">
        <f t="shared" si="10"/>
        <v>0</v>
      </c>
      <c r="K116" s="162"/>
      <c r="L116" s="330"/>
      <c r="M116" s="162">
        <f t="shared" si="16"/>
        <v>0</v>
      </c>
      <c r="N116" s="330"/>
      <c r="O116" s="162">
        <f t="shared" si="17"/>
        <v>0</v>
      </c>
      <c r="P116" s="162">
        <f t="shared" si="18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1338283.2366666663</v>
      </c>
      <c r="E117" s="164">
        <f t="shared" si="11"/>
        <v>52247</v>
      </c>
      <c r="F117" s="163">
        <f t="shared" si="12"/>
        <v>1286036.2366666663</v>
      </c>
      <c r="G117" s="163">
        <f t="shared" si="13"/>
        <v>1312159.7366666663</v>
      </c>
      <c r="H117" s="167">
        <f t="shared" si="14"/>
        <v>187052.47431390939</v>
      </c>
      <c r="I117" s="312">
        <f t="shared" si="15"/>
        <v>187052.47431390939</v>
      </c>
      <c r="J117" s="162">
        <f t="shared" si="10"/>
        <v>0</v>
      </c>
      <c r="K117" s="162"/>
      <c r="L117" s="330"/>
      <c r="M117" s="162">
        <f t="shared" si="16"/>
        <v>0</v>
      </c>
      <c r="N117" s="330"/>
      <c r="O117" s="162">
        <f t="shared" si="17"/>
        <v>0</v>
      </c>
      <c r="P117" s="162">
        <f t="shared" si="18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1286036.2366666663</v>
      </c>
      <c r="E118" s="164">
        <f t="shared" si="11"/>
        <v>52247</v>
      </c>
      <c r="F118" s="163">
        <f t="shared" si="12"/>
        <v>1233789.2366666663</v>
      </c>
      <c r="G118" s="163">
        <f t="shared" si="13"/>
        <v>1259912.7366666663</v>
      </c>
      <c r="H118" s="167">
        <f t="shared" si="14"/>
        <v>181684.84915390343</v>
      </c>
      <c r="I118" s="312">
        <f t="shared" si="15"/>
        <v>181684.84915390343</v>
      </c>
      <c r="J118" s="162">
        <f t="shared" si="10"/>
        <v>0</v>
      </c>
      <c r="K118" s="162"/>
      <c r="L118" s="330"/>
      <c r="M118" s="162">
        <f t="shared" si="16"/>
        <v>0</v>
      </c>
      <c r="N118" s="330"/>
      <c r="O118" s="162">
        <f t="shared" si="17"/>
        <v>0</v>
      </c>
      <c r="P118" s="162">
        <f t="shared" si="18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1233789.2366666663</v>
      </c>
      <c r="E119" s="164">
        <f t="shared" si="11"/>
        <v>52247</v>
      </c>
      <c r="F119" s="163">
        <f t="shared" si="12"/>
        <v>1181542.2366666663</v>
      </c>
      <c r="G119" s="163">
        <f t="shared" si="13"/>
        <v>1207665.7366666663</v>
      </c>
      <c r="H119" s="167">
        <f t="shared" si="14"/>
        <v>176317.22399389744</v>
      </c>
      <c r="I119" s="312">
        <f t="shared" si="15"/>
        <v>176317.22399389744</v>
      </c>
      <c r="J119" s="162">
        <f t="shared" si="10"/>
        <v>0</v>
      </c>
      <c r="K119" s="162"/>
      <c r="L119" s="330"/>
      <c r="M119" s="162">
        <f t="shared" si="16"/>
        <v>0</v>
      </c>
      <c r="N119" s="330"/>
      <c r="O119" s="162">
        <f t="shared" si="17"/>
        <v>0</v>
      </c>
      <c r="P119" s="162">
        <f t="shared" si="18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1181542.2366666663</v>
      </c>
      <c r="E120" s="164">
        <f t="shared" si="11"/>
        <v>52247</v>
      </c>
      <c r="F120" s="163">
        <f t="shared" si="12"/>
        <v>1129295.2366666663</v>
      </c>
      <c r="G120" s="163">
        <f t="shared" si="13"/>
        <v>1155418.7366666663</v>
      </c>
      <c r="H120" s="167">
        <f t="shared" si="14"/>
        <v>170949.59883389145</v>
      </c>
      <c r="I120" s="312">
        <f t="shared" si="15"/>
        <v>170949.59883389145</v>
      </c>
      <c r="J120" s="162">
        <f t="shared" si="10"/>
        <v>0</v>
      </c>
      <c r="K120" s="162"/>
      <c r="L120" s="330"/>
      <c r="M120" s="162">
        <f t="shared" si="16"/>
        <v>0</v>
      </c>
      <c r="N120" s="330"/>
      <c r="O120" s="162">
        <f t="shared" si="17"/>
        <v>0</v>
      </c>
      <c r="P120" s="162">
        <f t="shared" si="18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1129295.2366666663</v>
      </c>
      <c r="E121" s="164">
        <f t="shared" si="11"/>
        <v>52247</v>
      </c>
      <c r="F121" s="163">
        <f t="shared" si="12"/>
        <v>1077048.2366666663</v>
      </c>
      <c r="G121" s="163">
        <f t="shared" si="13"/>
        <v>1103171.7366666663</v>
      </c>
      <c r="H121" s="167">
        <f t="shared" si="14"/>
        <v>165581.97367388546</v>
      </c>
      <c r="I121" s="312">
        <f t="shared" si="15"/>
        <v>165581.97367388546</v>
      </c>
      <c r="J121" s="162">
        <f t="shared" si="10"/>
        <v>0</v>
      </c>
      <c r="K121" s="162"/>
      <c r="L121" s="330"/>
      <c r="M121" s="162">
        <f t="shared" si="16"/>
        <v>0</v>
      </c>
      <c r="N121" s="330"/>
      <c r="O121" s="162">
        <f t="shared" si="17"/>
        <v>0</v>
      </c>
      <c r="P121" s="162">
        <f t="shared" si="18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1077048.2366666663</v>
      </c>
      <c r="E122" s="164">
        <f t="shared" si="11"/>
        <v>52247</v>
      </c>
      <c r="F122" s="163">
        <f t="shared" si="12"/>
        <v>1024801.2366666663</v>
      </c>
      <c r="G122" s="163">
        <f t="shared" si="13"/>
        <v>1050924.7366666663</v>
      </c>
      <c r="H122" s="167">
        <f t="shared" si="14"/>
        <v>160214.34851387946</v>
      </c>
      <c r="I122" s="312">
        <f t="shared" si="15"/>
        <v>160214.34851387946</v>
      </c>
      <c r="J122" s="162">
        <f t="shared" si="10"/>
        <v>0</v>
      </c>
      <c r="K122" s="162"/>
      <c r="L122" s="330"/>
      <c r="M122" s="162">
        <f t="shared" si="16"/>
        <v>0</v>
      </c>
      <c r="N122" s="330"/>
      <c r="O122" s="162">
        <f t="shared" si="17"/>
        <v>0</v>
      </c>
      <c r="P122" s="162">
        <f t="shared" si="18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1024801.2366666663</v>
      </c>
      <c r="E123" s="164">
        <f t="shared" si="11"/>
        <v>52247</v>
      </c>
      <c r="F123" s="163">
        <f t="shared" si="12"/>
        <v>972554.23666666634</v>
      </c>
      <c r="G123" s="163">
        <f t="shared" si="13"/>
        <v>998677.73666666634</v>
      </c>
      <c r="H123" s="167">
        <f t="shared" si="14"/>
        <v>154846.7233538735</v>
      </c>
      <c r="I123" s="312">
        <f t="shared" si="15"/>
        <v>154846.7233538735</v>
      </c>
      <c r="J123" s="162">
        <f t="shared" si="10"/>
        <v>0</v>
      </c>
      <c r="K123" s="162"/>
      <c r="L123" s="330"/>
      <c r="M123" s="162">
        <f t="shared" si="16"/>
        <v>0</v>
      </c>
      <c r="N123" s="330"/>
      <c r="O123" s="162">
        <f t="shared" si="17"/>
        <v>0</v>
      </c>
      <c r="P123" s="162">
        <f t="shared" si="18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972554.23666666634</v>
      </c>
      <c r="E124" s="164">
        <f t="shared" si="11"/>
        <v>52247</v>
      </c>
      <c r="F124" s="163">
        <f t="shared" si="12"/>
        <v>920307.23666666634</v>
      </c>
      <c r="G124" s="163">
        <f t="shared" si="13"/>
        <v>946430.73666666634</v>
      </c>
      <c r="H124" s="167">
        <f t="shared" si="14"/>
        <v>149479.09819386751</v>
      </c>
      <c r="I124" s="312">
        <f t="shared" si="15"/>
        <v>149479.09819386751</v>
      </c>
      <c r="J124" s="162">
        <f t="shared" si="10"/>
        <v>0</v>
      </c>
      <c r="K124" s="162"/>
      <c r="L124" s="330"/>
      <c r="M124" s="162">
        <f t="shared" si="16"/>
        <v>0</v>
      </c>
      <c r="N124" s="330"/>
      <c r="O124" s="162">
        <f t="shared" si="17"/>
        <v>0</v>
      </c>
      <c r="P124" s="162">
        <f t="shared" si="18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920307.23666666634</v>
      </c>
      <c r="E125" s="164">
        <f t="shared" si="11"/>
        <v>52247</v>
      </c>
      <c r="F125" s="163">
        <f t="shared" si="12"/>
        <v>868060.23666666634</v>
      </c>
      <c r="G125" s="163">
        <f t="shared" si="13"/>
        <v>894183.73666666634</v>
      </c>
      <c r="H125" s="167">
        <f t="shared" si="14"/>
        <v>144111.47303386155</v>
      </c>
      <c r="I125" s="312">
        <f t="shared" si="15"/>
        <v>144111.47303386155</v>
      </c>
      <c r="J125" s="162">
        <f t="shared" si="10"/>
        <v>0</v>
      </c>
      <c r="K125" s="162"/>
      <c r="L125" s="330"/>
      <c r="M125" s="162">
        <f t="shared" si="16"/>
        <v>0</v>
      </c>
      <c r="N125" s="330"/>
      <c r="O125" s="162">
        <f t="shared" si="17"/>
        <v>0</v>
      </c>
      <c r="P125" s="162">
        <f t="shared" si="18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868060.23666666634</v>
      </c>
      <c r="E126" s="164">
        <f t="shared" si="11"/>
        <v>52247</v>
      </c>
      <c r="F126" s="163">
        <f t="shared" si="12"/>
        <v>815813.23666666634</v>
      </c>
      <c r="G126" s="163">
        <f t="shared" si="13"/>
        <v>841936.73666666634</v>
      </c>
      <c r="H126" s="167">
        <f t="shared" si="14"/>
        <v>138743.84787385556</v>
      </c>
      <c r="I126" s="312">
        <f t="shared" si="15"/>
        <v>138743.84787385556</v>
      </c>
      <c r="J126" s="162">
        <f t="shared" si="10"/>
        <v>0</v>
      </c>
      <c r="K126" s="162"/>
      <c r="L126" s="330"/>
      <c r="M126" s="162">
        <f t="shared" si="16"/>
        <v>0</v>
      </c>
      <c r="N126" s="330"/>
      <c r="O126" s="162">
        <f t="shared" si="17"/>
        <v>0</v>
      </c>
      <c r="P126" s="162">
        <f t="shared" si="18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815813.23666666634</v>
      </c>
      <c r="E127" s="164">
        <f t="shared" si="11"/>
        <v>52247</v>
      </c>
      <c r="F127" s="163">
        <f t="shared" si="12"/>
        <v>763566.23666666634</v>
      </c>
      <c r="G127" s="163">
        <f t="shared" si="13"/>
        <v>789689.73666666634</v>
      </c>
      <c r="H127" s="167">
        <f t="shared" si="14"/>
        <v>133376.22271384957</v>
      </c>
      <c r="I127" s="312">
        <f t="shared" si="15"/>
        <v>133376.22271384957</v>
      </c>
      <c r="J127" s="162">
        <f t="shared" si="10"/>
        <v>0</v>
      </c>
      <c r="K127" s="162"/>
      <c r="L127" s="330"/>
      <c r="M127" s="162">
        <f t="shared" si="16"/>
        <v>0</v>
      </c>
      <c r="N127" s="330"/>
      <c r="O127" s="162">
        <f t="shared" si="17"/>
        <v>0</v>
      </c>
      <c r="P127" s="162">
        <f t="shared" si="18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763566.23666666634</v>
      </c>
      <c r="E128" s="164">
        <f t="shared" si="11"/>
        <v>52247</v>
      </c>
      <c r="F128" s="163">
        <f t="shared" si="12"/>
        <v>711319.23666666634</v>
      </c>
      <c r="G128" s="163">
        <f t="shared" si="13"/>
        <v>737442.73666666634</v>
      </c>
      <c r="H128" s="167">
        <f t="shared" si="14"/>
        <v>128008.59755384357</v>
      </c>
      <c r="I128" s="312">
        <f t="shared" si="15"/>
        <v>128008.59755384357</v>
      </c>
      <c r="J128" s="162">
        <f t="shared" si="10"/>
        <v>0</v>
      </c>
      <c r="K128" s="162"/>
      <c r="L128" s="330"/>
      <c r="M128" s="162">
        <f t="shared" si="16"/>
        <v>0</v>
      </c>
      <c r="N128" s="330"/>
      <c r="O128" s="162">
        <f t="shared" si="17"/>
        <v>0</v>
      </c>
      <c r="P128" s="162">
        <f t="shared" si="18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711319.23666666634</v>
      </c>
      <c r="E129" s="164">
        <f t="shared" si="11"/>
        <v>52247</v>
      </c>
      <c r="F129" s="163">
        <f t="shared" si="12"/>
        <v>659072.23666666634</v>
      </c>
      <c r="G129" s="163">
        <f t="shared" si="13"/>
        <v>685195.73666666634</v>
      </c>
      <c r="H129" s="167">
        <f t="shared" si="14"/>
        <v>122640.9723938376</v>
      </c>
      <c r="I129" s="312">
        <f t="shared" si="15"/>
        <v>122640.9723938376</v>
      </c>
      <c r="J129" s="162">
        <f t="shared" si="10"/>
        <v>0</v>
      </c>
      <c r="K129" s="162"/>
      <c r="L129" s="330"/>
      <c r="M129" s="162">
        <f t="shared" si="16"/>
        <v>0</v>
      </c>
      <c r="N129" s="330"/>
      <c r="O129" s="162">
        <f t="shared" si="17"/>
        <v>0</v>
      </c>
      <c r="P129" s="162">
        <f t="shared" si="18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659072.23666666634</v>
      </c>
      <c r="E130" s="164">
        <f t="shared" si="11"/>
        <v>52247</v>
      </c>
      <c r="F130" s="163">
        <f t="shared" si="12"/>
        <v>606825.23666666634</v>
      </c>
      <c r="G130" s="163">
        <f t="shared" si="13"/>
        <v>632948.73666666634</v>
      </c>
      <c r="H130" s="167">
        <f t="shared" si="14"/>
        <v>117273.34723383162</v>
      </c>
      <c r="I130" s="312">
        <f t="shared" si="15"/>
        <v>117273.34723383162</v>
      </c>
      <c r="J130" s="162">
        <f t="shared" si="10"/>
        <v>0</v>
      </c>
      <c r="K130" s="162"/>
      <c r="L130" s="330"/>
      <c r="M130" s="162">
        <f t="shared" si="16"/>
        <v>0</v>
      </c>
      <c r="N130" s="330"/>
      <c r="O130" s="162">
        <f t="shared" si="17"/>
        <v>0</v>
      </c>
      <c r="P130" s="162">
        <f t="shared" si="18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606825.23666666634</v>
      </c>
      <c r="E131" s="164">
        <f t="shared" si="11"/>
        <v>52247</v>
      </c>
      <c r="F131" s="163">
        <f t="shared" si="12"/>
        <v>554578.23666666634</v>
      </c>
      <c r="G131" s="163">
        <f t="shared" si="13"/>
        <v>580701.73666666634</v>
      </c>
      <c r="H131" s="167">
        <f t="shared" si="14"/>
        <v>111905.72207382563</v>
      </c>
      <c r="I131" s="312">
        <f t="shared" si="15"/>
        <v>111905.72207382563</v>
      </c>
      <c r="J131" s="162">
        <f t="shared" si="10"/>
        <v>0</v>
      </c>
      <c r="K131" s="162"/>
      <c r="L131" s="330"/>
      <c r="M131" s="162">
        <f t="shared" ref="M131:M154" si="19">IF(L541&lt;&gt;0,+H541-L541,0)</f>
        <v>0</v>
      </c>
      <c r="N131" s="330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554578.23666666634</v>
      </c>
      <c r="E132" s="164">
        <f t="shared" si="11"/>
        <v>52247</v>
      </c>
      <c r="F132" s="163">
        <f t="shared" si="12"/>
        <v>502331.23666666634</v>
      </c>
      <c r="G132" s="163">
        <f t="shared" si="13"/>
        <v>528454.73666666634</v>
      </c>
      <c r="H132" s="167">
        <f t="shared" si="14"/>
        <v>106538.09691381964</v>
      </c>
      <c r="I132" s="312">
        <f t="shared" si="15"/>
        <v>106538.09691381964</v>
      </c>
      <c r="J132" s="162">
        <f t="shared" si="10"/>
        <v>0</v>
      </c>
      <c r="K132" s="162"/>
      <c r="L132" s="330"/>
      <c r="M132" s="162">
        <f t="shared" si="19"/>
        <v>0</v>
      </c>
      <c r="N132" s="330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502331.23666666634</v>
      </c>
      <c r="E133" s="164">
        <f t="shared" si="11"/>
        <v>52247</v>
      </c>
      <c r="F133" s="163">
        <f t="shared" si="12"/>
        <v>450084.23666666634</v>
      </c>
      <c r="G133" s="163">
        <f t="shared" si="13"/>
        <v>476207.73666666634</v>
      </c>
      <c r="H133" s="167">
        <f t="shared" si="14"/>
        <v>101170.47175381366</v>
      </c>
      <c r="I133" s="312">
        <f t="shared" si="15"/>
        <v>101170.47175381366</v>
      </c>
      <c r="J133" s="162">
        <f t="shared" si="10"/>
        <v>0</v>
      </c>
      <c r="K133" s="162"/>
      <c r="L133" s="330"/>
      <c r="M133" s="162">
        <f t="shared" si="19"/>
        <v>0</v>
      </c>
      <c r="N133" s="330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450084.23666666634</v>
      </c>
      <c r="E134" s="164">
        <f t="shared" si="11"/>
        <v>52247</v>
      </c>
      <c r="F134" s="163">
        <f t="shared" si="12"/>
        <v>397837.23666666634</v>
      </c>
      <c r="G134" s="163">
        <f t="shared" si="13"/>
        <v>423960.73666666634</v>
      </c>
      <c r="H134" s="167">
        <f t="shared" si="14"/>
        <v>95802.846593807684</v>
      </c>
      <c r="I134" s="312">
        <f t="shared" si="15"/>
        <v>95802.846593807684</v>
      </c>
      <c r="J134" s="162">
        <f t="shared" si="10"/>
        <v>0</v>
      </c>
      <c r="K134" s="162"/>
      <c r="L134" s="330"/>
      <c r="M134" s="162">
        <f t="shared" si="19"/>
        <v>0</v>
      </c>
      <c r="N134" s="330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397837.23666666634</v>
      </c>
      <c r="E135" s="164">
        <f t="shared" si="11"/>
        <v>52247</v>
      </c>
      <c r="F135" s="163">
        <f t="shared" si="12"/>
        <v>345590.23666666634</v>
      </c>
      <c r="G135" s="163">
        <f t="shared" si="13"/>
        <v>371713.73666666634</v>
      </c>
      <c r="H135" s="167">
        <f t="shared" si="14"/>
        <v>90435.221433801693</v>
      </c>
      <c r="I135" s="312">
        <f t="shared" si="15"/>
        <v>90435.221433801693</v>
      </c>
      <c r="J135" s="162">
        <f t="shared" si="10"/>
        <v>0</v>
      </c>
      <c r="K135" s="162"/>
      <c r="L135" s="330"/>
      <c r="M135" s="162">
        <f t="shared" si="19"/>
        <v>0</v>
      </c>
      <c r="N135" s="330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345590.23666666634</v>
      </c>
      <c r="E136" s="164">
        <f t="shared" si="11"/>
        <v>52247</v>
      </c>
      <c r="F136" s="163">
        <f t="shared" si="12"/>
        <v>293343.23666666634</v>
      </c>
      <c r="G136" s="163">
        <f t="shared" si="13"/>
        <v>319466.73666666634</v>
      </c>
      <c r="H136" s="167">
        <f t="shared" si="14"/>
        <v>85067.596273795702</v>
      </c>
      <c r="I136" s="312">
        <f t="shared" si="15"/>
        <v>85067.596273795702</v>
      </c>
      <c r="J136" s="162">
        <f t="shared" si="10"/>
        <v>0</v>
      </c>
      <c r="K136" s="162"/>
      <c r="L136" s="330"/>
      <c r="M136" s="162">
        <f t="shared" si="19"/>
        <v>0</v>
      </c>
      <c r="N136" s="330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293343.23666666634</v>
      </c>
      <c r="E137" s="164">
        <f t="shared" si="11"/>
        <v>52247</v>
      </c>
      <c r="F137" s="163">
        <f t="shared" si="12"/>
        <v>241096.23666666634</v>
      </c>
      <c r="G137" s="163">
        <f t="shared" si="13"/>
        <v>267219.73666666634</v>
      </c>
      <c r="H137" s="167">
        <f t="shared" si="14"/>
        <v>79699.971113789725</v>
      </c>
      <c r="I137" s="312">
        <f t="shared" si="15"/>
        <v>79699.971113789725</v>
      </c>
      <c r="J137" s="162">
        <f t="shared" si="10"/>
        <v>0</v>
      </c>
      <c r="K137" s="162"/>
      <c r="L137" s="330"/>
      <c r="M137" s="162">
        <f t="shared" si="19"/>
        <v>0</v>
      </c>
      <c r="N137" s="330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241096.23666666634</v>
      </c>
      <c r="E138" s="164">
        <f t="shared" si="11"/>
        <v>52247</v>
      </c>
      <c r="F138" s="163">
        <f t="shared" si="12"/>
        <v>188849.23666666634</v>
      </c>
      <c r="G138" s="163">
        <f t="shared" si="13"/>
        <v>214972.73666666634</v>
      </c>
      <c r="H138" s="167">
        <f t="shared" si="14"/>
        <v>74332.345953783748</v>
      </c>
      <c r="I138" s="312">
        <f t="shared" si="15"/>
        <v>74332.345953783748</v>
      </c>
      <c r="J138" s="162">
        <f t="shared" si="10"/>
        <v>0</v>
      </c>
      <c r="K138" s="162"/>
      <c r="L138" s="330"/>
      <c r="M138" s="162">
        <f t="shared" si="19"/>
        <v>0</v>
      </c>
      <c r="N138" s="330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188849.23666666634</v>
      </c>
      <c r="E139" s="164">
        <f t="shared" si="11"/>
        <v>52247</v>
      </c>
      <c r="F139" s="163">
        <f t="shared" si="12"/>
        <v>136602.23666666634</v>
      </c>
      <c r="G139" s="163">
        <f t="shared" si="13"/>
        <v>162725.73666666634</v>
      </c>
      <c r="H139" s="167">
        <f t="shared" si="14"/>
        <v>68964.720793777757</v>
      </c>
      <c r="I139" s="312">
        <f t="shared" si="15"/>
        <v>68964.720793777757</v>
      </c>
      <c r="J139" s="162">
        <f t="shared" si="10"/>
        <v>0</v>
      </c>
      <c r="K139" s="162"/>
      <c r="L139" s="330"/>
      <c r="M139" s="162">
        <f t="shared" si="19"/>
        <v>0</v>
      </c>
      <c r="N139" s="330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136602.23666666634</v>
      </c>
      <c r="E140" s="164">
        <f t="shared" si="11"/>
        <v>52247</v>
      </c>
      <c r="F140" s="163">
        <f t="shared" si="12"/>
        <v>84355.236666666344</v>
      </c>
      <c r="G140" s="163">
        <f t="shared" si="13"/>
        <v>110478.73666666634</v>
      </c>
      <c r="H140" s="167">
        <f t="shared" si="14"/>
        <v>63597.095633771773</v>
      </c>
      <c r="I140" s="312">
        <f t="shared" si="15"/>
        <v>63597.095633771773</v>
      </c>
      <c r="J140" s="162">
        <f t="shared" si="10"/>
        <v>0</v>
      </c>
      <c r="K140" s="162"/>
      <c r="L140" s="330"/>
      <c r="M140" s="162">
        <f t="shared" si="19"/>
        <v>0</v>
      </c>
      <c r="N140" s="330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84355.236666666344</v>
      </c>
      <c r="E141" s="164">
        <f t="shared" si="11"/>
        <v>52247</v>
      </c>
      <c r="F141" s="163">
        <f t="shared" si="12"/>
        <v>32108.236666666344</v>
      </c>
      <c r="G141" s="163">
        <f t="shared" si="13"/>
        <v>58231.736666666344</v>
      </c>
      <c r="H141" s="167">
        <f t="shared" si="14"/>
        <v>58229.470473765788</v>
      </c>
      <c r="I141" s="312">
        <f t="shared" si="15"/>
        <v>58229.470473765788</v>
      </c>
      <c r="J141" s="162">
        <f t="shared" si="10"/>
        <v>0</v>
      </c>
      <c r="K141" s="162"/>
      <c r="L141" s="330"/>
      <c r="M141" s="162">
        <f t="shared" si="19"/>
        <v>0</v>
      </c>
      <c r="N141" s="330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32108.236666666344</v>
      </c>
      <c r="E142" s="164">
        <f t="shared" si="11"/>
        <v>32108.236666666344</v>
      </c>
      <c r="F142" s="163">
        <f t="shared" si="12"/>
        <v>0</v>
      </c>
      <c r="G142" s="163">
        <f t="shared" si="13"/>
        <v>16054.118333333172</v>
      </c>
      <c r="H142" s="167">
        <f t="shared" si="14"/>
        <v>33757.56561354774</v>
      </c>
      <c r="I142" s="312">
        <f t="shared" si="15"/>
        <v>33757.56561354774</v>
      </c>
      <c r="J142" s="162">
        <f t="shared" si="10"/>
        <v>0</v>
      </c>
      <c r="K142" s="162"/>
      <c r="L142" s="330"/>
      <c r="M142" s="162">
        <f t="shared" si="19"/>
        <v>0</v>
      </c>
      <c r="N142" s="330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0</v>
      </c>
      <c r="E143" s="164">
        <f t="shared" si="11"/>
        <v>0</v>
      </c>
      <c r="F143" s="163">
        <f t="shared" si="12"/>
        <v>0</v>
      </c>
      <c r="G143" s="163">
        <f t="shared" si="13"/>
        <v>0</v>
      </c>
      <c r="H143" s="167">
        <f t="shared" si="14"/>
        <v>0</v>
      </c>
      <c r="I143" s="312">
        <f t="shared" si="15"/>
        <v>0</v>
      </c>
      <c r="J143" s="162">
        <f t="shared" si="10"/>
        <v>0</v>
      </c>
      <c r="K143" s="162"/>
      <c r="L143" s="330"/>
      <c r="M143" s="162">
        <f t="shared" si="19"/>
        <v>0</v>
      </c>
      <c r="N143" s="330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0</v>
      </c>
      <c r="E144" s="164">
        <f t="shared" si="11"/>
        <v>0</v>
      </c>
      <c r="F144" s="163">
        <f t="shared" si="12"/>
        <v>0</v>
      </c>
      <c r="G144" s="163">
        <f t="shared" si="13"/>
        <v>0</v>
      </c>
      <c r="H144" s="167">
        <f t="shared" si="14"/>
        <v>0</v>
      </c>
      <c r="I144" s="312">
        <f t="shared" si="15"/>
        <v>0</v>
      </c>
      <c r="J144" s="162">
        <f t="shared" si="10"/>
        <v>0</v>
      </c>
      <c r="K144" s="162"/>
      <c r="L144" s="330"/>
      <c r="M144" s="162">
        <f t="shared" si="19"/>
        <v>0</v>
      </c>
      <c r="N144" s="330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0</v>
      </c>
      <c r="E145" s="164">
        <f t="shared" si="11"/>
        <v>0</v>
      </c>
      <c r="F145" s="163">
        <f t="shared" si="12"/>
        <v>0</v>
      </c>
      <c r="G145" s="163">
        <f t="shared" si="13"/>
        <v>0</v>
      </c>
      <c r="H145" s="167">
        <f t="shared" si="14"/>
        <v>0</v>
      </c>
      <c r="I145" s="312">
        <f t="shared" si="15"/>
        <v>0</v>
      </c>
      <c r="J145" s="162">
        <f t="shared" si="10"/>
        <v>0</v>
      </c>
      <c r="K145" s="162"/>
      <c r="L145" s="330"/>
      <c r="M145" s="162">
        <f t="shared" si="19"/>
        <v>0</v>
      </c>
      <c r="N145" s="330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1"/>
        <v>0</v>
      </c>
      <c r="F146" s="163">
        <f t="shared" si="12"/>
        <v>0</v>
      </c>
      <c r="G146" s="163">
        <f t="shared" si="13"/>
        <v>0</v>
      </c>
      <c r="H146" s="167">
        <f t="shared" si="14"/>
        <v>0</v>
      </c>
      <c r="I146" s="312">
        <f t="shared" si="15"/>
        <v>0</v>
      </c>
      <c r="J146" s="162">
        <f t="shared" si="10"/>
        <v>0</v>
      </c>
      <c r="K146" s="162"/>
      <c r="L146" s="330"/>
      <c r="M146" s="162">
        <f t="shared" si="19"/>
        <v>0</v>
      </c>
      <c r="N146" s="330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1"/>
        <v>0</v>
      </c>
      <c r="F147" s="163">
        <f t="shared" si="12"/>
        <v>0</v>
      </c>
      <c r="G147" s="163">
        <f t="shared" si="13"/>
        <v>0</v>
      </c>
      <c r="H147" s="167">
        <f t="shared" si="14"/>
        <v>0</v>
      </c>
      <c r="I147" s="312">
        <f t="shared" si="15"/>
        <v>0</v>
      </c>
      <c r="J147" s="162">
        <f t="shared" si="10"/>
        <v>0</v>
      </c>
      <c r="K147" s="162"/>
      <c r="L147" s="330"/>
      <c r="M147" s="162">
        <f t="shared" si="19"/>
        <v>0</v>
      </c>
      <c r="N147" s="330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1"/>
        <v>0</v>
      </c>
      <c r="F148" s="163">
        <f t="shared" si="12"/>
        <v>0</v>
      </c>
      <c r="G148" s="163">
        <f t="shared" si="13"/>
        <v>0</v>
      </c>
      <c r="H148" s="167">
        <f t="shared" si="14"/>
        <v>0</v>
      </c>
      <c r="I148" s="312">
        <f t="shared" si="15"/>
        <v>0</v>
      </c>
      <c r="J148" s="162">
        <f t="shared" si="10"/>
        <v>0</v>
      </c>
      <c r="K148" s="162"/>
      <c r="L148" s="330"/>
      <c r="M148" s="162">
        <f t="shared" si="19"/>
        <v>0</v>
      </c>
      <c r="N148" s="330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1"/>
        <v>0</v>
      </c>
      <c r="F149" s="163">
        <f t="shared" si="12"/>
        <v>0</v>
      </c>
      <c r="G149" s="163">
        <f t="shared" si="13"/>
        <v>0</v>
      </c>
      <c r="H149" s="167">
        <f t="shared" si="14"/>
        <v>0</v>
      </c>
      <c r="I149" s="312">
        <f t="shared" si="15"/>
        <v>0</v>
      </c>
      <c r="J149" s="162">
        <f t="shared" si="10"/>
        <v>0</v>
      </c>
      <c r="K149" s="162"/>
      <c r="L149" s="330"/>
      <c r="M149" s="162">
        <f t="shared" si="19"/>
        <v>0</v>
      </c>
      <c r="N149" s="330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1"/>
        <v>0</v>
      </c>
      <c r="F150" s="163">
        <f t="shared" si="12"/>
        <v>0</v>
      </c>
      <c r="G150" s="163">
        <f t="shared" si="13"/>
        <v>0</v>
      </c>
      <c r="H150" s="167">
        <f t="shared" si="14"/>
        <v>0</v>
      </c>
      <c r="I150" s="312">
        <f t="shared" si="15"/>
        <v>0</v>
      </c>
      <c r="J150" s="162">
        <f t="shared" si="10"/>
        <v>0</v>
      </c>
      <c r="K150" s="162"/>
      <c r="L150" s="330"/>
      <c r="M150" s="162">
        <f t="shared" si="19"/>
        <v>0</v>
      </c>
      <c r="N150" s="330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1"/>
        <v>0</v>
      </c>
      <c r="F151" s="163">
        <f t="shared" si="12"/>
        <v>0</v>
      </c>
      <c r="G151" s="163">
        <f t="shared" si="13"/>
        <v>0</v>
      </c>
      <c r="H151" s="167">
        <f t="shared" si="14"/>
        <v>0</v>
      </c>
      <c r="I151" s="312">
        <f t="shared" si="15"/>
        <v>0</v>
      </c>
      <c r="J151" s="162">
        <f t="shared" si="10"/>
        <v>0</v>
      </c>
      <c r="K151" s="162"/>
      <c r="L151" s="330"/>
      <c r="M151" s="162">
        <f t="shared" si="19"/>
        <v>0</v>
      </c>
      <c r="N151" s="330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1"/>
        <v>0</v>
      </c>
      <c r="F152" s="163">
        <f t="shared" si="12"/>
        <v>0</v>
      </c>
      <c r="G152" s="163">
        <f t="shared" si="13"/>
        <v>0</v>
      </c>
      <c r="H152" s="167">
        <f t="shared" si="14"/>
        <v>0</v>
      </c>
      <c r="I152" s="312">
        <f t="shared" si="15"/>
        <v>0</v>
      </c>
      <c r="J152" s="162">
        <f t="shared" si="10"/>
        <v>0</v>
      </c>
      <c r="K152" s="162"/>
      <c r="L152" s="330"/>
      <c r="M152" s="162">
        <f t="shared" si="19"/>
        <v>0</v>
      </c>
      <c r="N152" s="330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1"/>
        <v>0</v>
      </c>
      <c r="F153" s="163">
        <f t="shared" si="12"/>
        <v>0</v>
      </c>
      <c r="G153" s="163">
        <f t="shared" si="13"/>
        <v>0</v>
      </c>
      <c r="H153" s="167">
        <f t="shared" si="14"/>
        <v>0</v>
      </c>
      <c r="I153" s="312">
        <f t="shared" si="15"/>
        <v>0</v>
      </c>
      <c r="J153" s="162">
        <f t="shared" si="10"/>
        <v>0</v>
      </c>
      <c r="K153" s="162"/>
      <c r="L153" s="330"/>
      <c r="M153" s="162">
        <f t="shared" si="19"/>
        <v>0</v>
      </c>
      <c r="N153" s="330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1"/>
        <v>0</v>
      </c>
      <c r="F154" s="163">
        <f t="shared" si="12"/>
        <v>0</v>
      </c>
      <c r="G154" s="163">
        <f t="shared" si="13"/>
        <v>0</v>
      </c>
      <c r="H154" s="167">
        <f t="shared" si="14"/>
        <v>0</v>
      </c>
      <c r="I154" s="312">
        <f t="shared" si="15"/>
        <v>0</v>
      </c>
      <c r="J154" s="162">
        <f t="shared" si="10"/>
        <v>0</v>
      </c>
      <c r="K154" s="162"/>
      <c r="L154" s="331"/>
      <c r="M154" s="173">
        <f t="shared" si="19"/>
        <v>0</v>
      </c>
      <c r="N154" s="331"/>
      <c r="O154" s="173">
        <f t="shared" si="20"/>
        <v>0</v>
      </c>
      <c r="P154" s="173">
        <f t="shared" si="21"/>
        <v>0</v>
      </c>
    </row>
    <row r="155" spans="2:16">
      <c r="C155" s="158" t="s">
        <v>77</v>
      </c>
      <c r="D155" s="115"/>
      <c r="E155" s="115">
        <f>SUM(E99:E154)</f>
        <v>2246628.5699999998</v>
      </c>
      <c r="F155" s="115"/>
      <c r="G155" s="115"/>
      <c r="H155" s="115">
        <f>SUM(H99:H154)</f>
        <v>7454997.7894692272</v>
      </c>
      <c r="I155" s="115">
        <f>SUM(I99:I154)</f>
        <v>7454997.7894692272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view="pageBreakPreview" zoomScale="80" zoomScaleNormal="100" zoomScaleSheetLayoutView="80" workbookViewId="0">
      <selection activeCell="D21" sqref="D21:H2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16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740035.4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740035.4</v>
      </c>
      <c r="O6" s="1"/>
      <c r="P6" s="1"/>
    </row>
    <row r="7" spans="1:16" ht="13.5" thickBot="1">
      <c r="C7" s="127" t="s">
        <v>46</v>
      </c>
      <c r="D7" s="227" t="s">
        <v>255</v>
      </c>
      <c r="E7" s="385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254</v>
      </c>
      <c r="E9" s="406" t="s">
        <v>262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5059278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2014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12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112428.4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2014</v>
      </c>
      <c r="D17" s="413">
        <v>5300000</v>
      </c>
      <c r="E17" s="418">
        <v>0</v>
      </c>
      <c r="F17" s="413">
        <v>5300000</v>
      </c>
      <c r="G17" s="418">
        <v>729591.46876123699</v>
      </c>
      <c r="H17" s="416">
        <v>729591.46876123699</v>
      </c>
      <c r="I17" s="160">
        <v>0</v>
      </c>
      <c r="J17" s="160"/>
      <c r="K17" s="333">
        <f>G17</f>
        <v>729591.46876123699</v>
      </c>
      <c r="L17" s="417">
        <f>IF(K17&lt;&gt;0,+G17-K17,0)</f>
        <v>0</v>
      </c>
      <c r="M17" s="333">
        <f>H17</f>
        <v>729591.46876123699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13">
        <v>5300000</v>
      </c>
      <c r="E18" s="414">
        <v>101923.07692307692</v>
      </c>
      <c r="F18" s="413">
        <v>5198076.923076923</v>
      </c>
      <c r="G18" s="414">
        <v>818590.55430690572</v>
      </c>
      <c r="H18" s="416">
        <v>818590.55430690572</v>
      </c>
      <c r="I18" s="160">
        <v>0</v>
      </c>
      <c r="J18" s="160"/>
      <c r="K18" s="333">
        <f>G18</f>
        <v>818590.55430690572</v>
      </c>
      <c r="L18" s="417">
        <f>IF(K18&lt;&gt;0,+G18-K18,0)</f>
        <v>0</v>
      </c>
      <c r="M18" s="333">
        <f>H18</f>
        <v>818590.55430690572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13">
        <v>4969414.923076923</v>
      </c>
      <c r="E19" s="414">
        <v>97525.730769230766</v>
      </c>
      <c r="F19" s="413">
        <v>4871889.192307692</v>
      </c>
      <c r="G19" s="414">
        <v>736520.73076923075</v>
      </c>
      <c r="H19" s="416">
        <v>736520.73076923075</v>
      </c>
      <c r="I19" s="160">
        <f>H19-G19</f>
        <v>0</v>
      </c>
      <c r="J19" s="160"/>
      <c r="K19" s="333">
        <f>G19</f>
        <v>736520.73076923075</v>
      </c>
      <c r="L19" s="417">
        <f>IF(K19&lt;&gt;0,+G19-K19,0)</f>
        <v>0</v>
      </c>
      <c r="M19" s="333">
        <f>H19</f>
        <v>736520.73076923075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>IU</v>
      </c>
      <c r="C20" s="157">
        <f>IF(D11="","-",+C19+1)</f>
        <v>2017</v>
      </c>
      <c r="D20" s="413">
        <v>4859829.192307692</v>
      </c>
      <c r="E20" s="414">
        <v>109984.30434782608</v>
      </c>
      <c r="F20" s="413">
        <v>4749844.8879598659</v>
      </c>
      <c r="G20" s="414">
        <v>714452.30434782605</v>
      </c>
      <c r="H20" s="416">
        <v>714452.30434782605</v>
      </c>
      <c r="I20" s="160">
        <f t="shared" ref="I20:I72" si="1">H20-G20</f>
        <v>0</v>
      </c>
      <c r="J20" s="160"/>
      <c r="K20" s="333">
        <f>G20</f>
        <v>714452.30434782605</v>
      </c>
      <c r="L20" s="417">
        <f>IF(K20&lt;&gt;0,+G20-K20,0)</f>
        <v>0</v>
      </c>
      <c r="M20" s="333">
        <f>H20</f>
        <v>714452.30434782605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2018</v>
      </c>
      <c r="D21" s="413">
        <v>4749844.8879598659</v>
      </c>
      <c r="E21" s="414">
        <v>112428.4</v>
      </c>
      <c r="F21" s="413">
        <v>4637416.4879598655</v>
      </c>
      <c r="G21" s="414">
        <v>740035.4</v>
      </c>
      <c r="H21" s="416">
        <v>740035.4</v>
      </c>
      <c r="I21" s="160">
        <f t="shared" si="1"/>
        <v>0</v>
      </c>
      <c r="J21" s="160"/>
      <c r="K21" s="333">
        <f>G21</f>
        <v>740035.4</v>
      </c>
      <c r="L21" s="417">
        <f>IF(K21&lt;&gt;0,+G21-K21,0)</f>
        <v>0</v>
      </c>
      <c r="M21" s="333">
        <f>H21</f>
        <v>740035.4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2019</v>
      </c>
      <c r="D22" s="163">
        <f>IF(F21+SUM(E$17:E21)=D$10,F21,D$10-SUM(E$17:E21))</f>
        <v>4637416.4879598655</v>
      </c>
      <c r="E22" s="164">
        <f t="shared" ref="E22:E72" si="2">IF(+$I$14&lt;F21,$I$14,D22)</f>
        <v>112428.4</v>
      </c>
      <c r="F22" s="163">
        <f t="shared" ref="F22:F72" si="3">+D22-E22</f>
        <v>4524988.0879598651</v>
      </c>
      <c r="G22" s="165">
        <f t="shared" ref="G22:G72" si="4">ROUND(I$12*F22,0)+E22</f>
        <v>724819.4</v>
      </c>
      <c r="H22" s="147">
        <f t="shared" ref="H22:H72" si="5">ROUND(I$13*F22,0)+E22</f>
        <v>724819.4</v>
      </c>
      <c r="I22" s="160">
        <f t="shared" si="1"/>
        <v>0</v>
      </c>
      <c r="J22" s="160"/>
      <c r="K22" s="330"/>
      <c r="L22" s="162">
        <f t="shared" ref="L22:L72" si="6">IF(K22&lt;&gt;0,+G22-K22,0)</f>
        <v>0</v>
      </c>
      <c r="M22" s="330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4524988.0879598651</v>
      </c>
      <c r="E23" s="164">
        <f t="shared" si="2"/>
        <v>112428.4</v>
      </c>
      <c r="F23" s="163">
        <f t="shared" si="3"/>
        <v>4412559.6879598647</v>
      </c>
      <c r="G23" s="165">
        <f t="shared" si="4"/>
        <v>709604.4</v>
      </c>
      <c r="H23" s="147">
        <f t="shared" si="5"/>
        <v>709604.4</v>
      </c>
      <c r="I23" s="160">
        <f t="shared" si="1"/>
        <v>0</v>
      </c>
      <c r="J23" s="160"/>
      <c r="K23" s="330"/>
      <c r="L23" s="162">
        <f t="shared" si="6"/>
        <v>0</v>
      </c>
      <c r="M23" s="330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4412559.6879598647</v>
      </c>
      <c r="E24" s="164">
        <f t="shared" si="2"/>
        <v>112428.4</v>
      </c>
      <c r="F24" s="163">
        <f t="shared" si="3"/>
        <v>4300131.2879598644</v>
      </c>
      <c r="G24" s="165">
        <f t="shared" si="4"/>
        <v>694388.4</v>
      </c>
      <c r="H24" s="147">
        <f t="shared" si="5"/>
        <v>694388.4</v>
      </c>
      <c r="I24" s="160">
        <f t="shared" si="1"/>
        <v>0</v>
      </c>
      <c r="J24" s="160"/>
      <c r="K24" s="330"/>
      <c r="L24" s="162">
        <f t="shared" si="6"/>
        <v>0</v>
      </c>
      <c r="M24" s="330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4300131.2879598644</v>
      </c>
      <c r="E25" s="164">
        <f t="shared" si="2"/>
        <v>112428.4</v>
      </c>
      <c r="F25" s="163">
        <f t="shared" si="3"/>
        <v>4187702.8879598645</v>
      </c>
      <c r="G25" s="165">
        <f t="shared" si="4"/>
        <v>679172.4</v>
      </c>
      <c r="H25" s="147">
        <f t="shared" si="5"/>
        <v>679172.4</v>
      </c>
      <c r="I25" s="160">
        <f t="shared" si="1"/>
        <v>0</v>
      </c>
      <c r="J25" s="160"/>
      <c r="K25" s="330"/>
      <c r="L25" s="162">
        <f t="shared" si="6"/>
        <v>0</v>
      </c>
      <c r="M25" s="330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4187702.8879598645</v>
      </c>
      <c r="E26" s="164">
        <f t="shared" si="2"/>
        <v>112428.4</v>
      </c>
      <c r="F26" s="163">
        <f t="shared" si="3"/>
        <v>4075274.4879598645</v>
      </c>
      <c r="G26" s="165">
        <f t="shared" si="4"/>
        <v>663957.4</v>
      </c>
      <c r="H26" s="147">
        <f t="shared" si="5"/>
        <v>663957.4</v>
      </c>
      <c r="I26" s="160">
        <f t="shared" si="1"/>
        <v>0</v>
      </c>
      <c r="J26" s="160"/>
      <c r="K26" s="330"/>
      <c r="L26" s="162">
        <f t="shared" si="6"/>
        <v>0</v>
      </c>
      <c r="M26" s="330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4075274.4879598645</v>
      </c>
      <c r="E27" s="164">
        <f t="shared" si="2"/>
        <v>112428.4</v>
      </c>
      <c r="F27" s="163">
        <f t="shared" si="3"/>
        <v>3962846.0879598646</v>
      </c>
      <c r="G27" s="165">
        <f t="shared" si="4"/>
        <v>648741.4</v>
      </c>
      <c r="H27" s="147">
        <f t="shared" si="5"/>
        <v>648741.4</v>
      </c>
      <c r="I27" s="160">
        <f t="shared" si="1"/>
        <v>0</v>
      </c>
      <c r="J27" s="160"/>
      <c r="K27" s="330"/>
      <c r="L27" s="162">
        <f t="shared" si="6"/>
        <v>0</v>
      </c>
      <c r="M27" s="330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3962846.0879598646</v>
      </c>
      <c r="E28" s="164">
        <f t="shared" si="2"/>
        <v>112428.4</v>
      </c>
      <c r="F28" s="163">
        <f t="shared" si="3"/>
        <v>3850417.6879598647</v>
      </c>
      <c r="G28" s="165">
        <f t="shared" si="4"/>
        <v>633526.4</v>
      </c>
      <c r="H28" s="147">
        <f t="shared" si="5"/>
        <v>633526.4</v>
      </c>
      <c r="I28" s="160">
        <f t="shared" si="1"/>
        <v>0</v>
      </c>
      <c r="J28" s="160"/>
      <c r="K28" s="330"/>
      <c r="L28" s="162">
        <f t="shared" si="6"/>
        <v>0</v>
      </c>
      <c r="M28" s="330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3850417.6879598647</v>
      </c>
      <c r="E29" s="164">
        <f t="shared" si="2"/>
        <v>112428.4</v>
      </c>
      <c r="F29" s="163">
        <f t="shared" si="3"/>
        <v>3737989.2879598648</v>
      </c>
      <c r="G29" s="165">
        <f t="shared" si="4"/>
        <v>618310.40000000002</v>
      </c>
      <c r="H29" s="147">
        <f t="shared" si="5"/>
        <v>618310.40000000002</v>
      </c>
      <c r="I29" s="160">
        <f t="shared" si="1"/>
        <v>0</v>
      </c>
      <c r="J29" s="160"/>
      <c r="K29" s="330"/>
      <c r="L29" s="162">
        <f t="shared" si="6"/>
        <v>0</v>
      </c>
      <c r="M29" s="330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3737989.2879598648</v>
      </c>
      <c r="E30" s="164">
        <f t="shared" si="2"/>
        <v>112428.4</v>
      </c>
      <c r="F30" s="163">
        <f t="shared" si="3"/>
        <v>3625560.8879598649</v>
      </c>
      <c r="G30" s="165">
        <f t="shared" si="4"/>
        <v>603095.4</v>
      </c>
      <c r="H30" s="147">
        <f t="shared" si="5"/>
        <v>603095.4</v>
      </c>
      <c r="I30" s="160">
        <f t="shared" si="1"/>
        <v>0</v>
      </c>
      <c r="J30" s="160"/>
      <c r="K30" s="330"/>
      <c r="L30" s="162">
        <f t="shared" si="6"/>
        <v>0</v>
      </c>
      <c r="M30" s="330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3625560.8879598649</v>
      </c>
      <c r="E31" s="164">
        <f t="shared" si="2"/>
        <v>112428.4</v>
      </c>
      <c r="F31" s="163">
        <f t="shared" si="3"/>
        <v>3513132.487959865</v>
      </c>
      <c r="G31" s="165">
        <f t="shared" si="4"/>
        <v>587879.4</v>
      </c>
      <c r="H31" s="147">
        <f t="shared" si="5"/>
        <v>587879.4</v>
      </c>
      <c r="I31" s="160">
        <f t="shared" si="1"/>
        <v>0</v>
      </c>
      <c r="J31" s="160"/>
      <c r="K31" s="330"/>
      <c r="L31" s="162">
        <f t="shared" si="6"/>
        <v>0</v>
      </c>
      <c r="M31" s="330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3513132.487959865</v>
      </c>
      <c r="E32" s="164">
        <f t="shared" si="2"/>
        <v>112428.4</v>
      </c>
      <c r="F32" s="163">
        <f t="shared" si="3"/>
        <v>3400704.0879598651</v>
      </c>
      <c r="G32" s="165">
        <f t="shared" si="4"/>
        <v>572664.4</v>
      </c>
      <c r="H32" s="147">
        <f t="shared" si="5"/>
        <v>572664.4</v>
      </c>
      <c r="I32" s="160">
        <f t="shared" si="1"/>
        <v>0</v>
      </c>
      <c r="J32" s="160"/>
      <c r="K32" s="330"/>
      <c r="L32" s="162">
        <f t="shared" si="6"/>
        <v>0</v>
      </c>
      <c r="M32" s="330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3400704.0879598651</v>
      </c>
      <c r="E33" s="164">
        <f t="shared" si="2"/>
        <v>112428.4</v>
      </c>
      <c r="F33" s="163">
        <f t="shared" si="3"/>
        <v>3288275.6879598652</v>
      </c>
      <c r="G33" s="165">
        <f t="shared" si="4"/>
        <v>557448.4</v>
      </c>
      <c r="H33" s="147">
        <f t="shared" si="5"/>
        <v>557448.4</v>
      </c>
      <c r="I33" s="160">
        <f t="shared" si="1"/>
        <v>0</v>
      </c>
      <c r="J33" s="160"/>
      <c r="K33" s="330"/>
      <c r="L33" s="162">
        <f t="shared" si="6"/>
        <v>0</v>
      </c>
      <c r="M33" s="330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3288275.6879598652</v>
      </c>
      <c r="E34" s="164">
        <f t="shared" si="2"/>
        <v>112428.4</v>
      </c>
      <c r="F34" s="163">
        <f t="shared" si="3"/>
        <v>3175847.2879598653</v>
      </c>
      <c r="G34" s="165">
        <f t="shared" si="4"/>
        <v>542233.4</v>
      </c>
      <c r="H34" s="147">
        <f t="shared" si="5"/>
        <v>542233.4</v>
      </c>
      <c r="I34" s="160">
        <f t="shared" si="1"/>
        <v>0</v>
      </c>
      <c r="J34" s="160"/>
      <c r="K34" s="330"/>
      <c r="L34" s="162">
        <f t="shared" si="6"/>
        <v>0</v>
      </c>
      <c r="M34" s="330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3175847.2879598653</v>
      </c>
      <c r="E35" s="164">
        <f t="shared" si="2"/>
        <v>112428.4</v>
      </c>
      <c r="F35" s="163">
        <f t="shared" si="3"/>
        <v>3063418.8879598654</v>
      </c>
      <c r="G35" s="165">
        <f t="shared" si="4"/>
        <v>527017.4</v>
      </c>
      <c r="H35" s="147">
        <f t="shared" si="5"/>
        <v>527017.4</v>
      </c>
      <c r="I35" s="160">
        <f t="shared" si="1"/>
        <v>0</v>
      </c>
      <c r="J35" s="160"/>
      <c r="K35" s="330"/>
      <c r="L35" s="162">
        <f t="shared" si="6"/>
        <v>0</v>
      </c>
      <c r="M35" s="330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3063418.8879598654</v>
      </c>
      <c r="E36" s="164">
        <f t="shared" si="2"/>
        <v>112428.4</v>
      </c>
      <c r="F36" s="163">
        <f t="shared" si="3"/>
        <v>2950990.4879598655</v>
      </c>
      <c r="G36" s="165">
        <f t="shared" si="4"/>
        <v>511802.4</v>
      </c>
      <c r="H36" s="147">
        <f t="shared" si="5"/>
        <v>511802.4</v>
      </c>
      <c r="I36" s="160">
        <f t="shared" si="1"/>
        <v>0</v>
      </c>
      <c r="J36" s="160"/>
      <c r="K36" s="330"/>
      <c r="L36" s="162">
        <f t="shared" si="6"/>
        <v>0</v>
      </c>
      <c r="M36" s="330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2950990.4879598655</v>
      </c>
      <c r="E37" s="164">
        <f t="shared" si="2"/>
        <v>112428.4</v>
      </c>
      <c r="F37" s="163">
        <f t="shared" si="3"/>
        <v>2838562.0879598656</v>
      </c>
      <c r="G37" s="165">
        <f t="shared" si="4"/>
        <v>496586.4</v>
      </c>
      <c r="H37" s="147">
        <f t="shared" si="5"/>
        <v>496586.4</v>
      </c>
      <c r="I37" s="160">
        <f t="shared" si="1"/>
        <v>0</v>
      </c>
      <c r="J37" s="160"/>
      <c r="K37" s="330"/>
      <c r="L37" s="162">
        <f t="shared" si="6"/>
        <v>0</v>
      </c>
      <c r="M37" s="330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2838562.0879598656</v>
      </c>
      <c r="E38" s="164">
        <f t="shared" si="2"/>
        <v>112428.4</v>
      </c>
      <c r="F38" s="163">
        <f t="shared" si="3"/>
        <v>2726133.6879598657</v>
      </c>
      <c r="G38" s="165">
        <f t="shared" si="4"/>
        <v>481370.4</v>
      </c>
      <c r="H38" s="147">
        <f t="shared" si="5"/>
        <v>481370.4</v>
      </c>
      <c r="I38" s="160">
        <f t="shared" si="1"/>
        <v>0</v>
      </c>
      <c r="J38" s="160"/>
      <c r="K38" s="330"/>
      <c r="L38" s="162">
        <f t="shared" si="6"/>
        <v>0</v>
      </c>
      <c r="M38" s="330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2726133.6879598657</v>
      </c>
      <c r="E39" s="164">
        <f t="shared" si="2"/>
        <v>112428.4</v>
      </c>
      <c r="F39" s="163">
        <f t="shared" si="3"/>
        <v>2613705.2879598658</v>
      </c>
      <c r="G39" s="165">
        <f t="shared" si="4"/>
        <v>466155.4</v>
      </c>
      <c r="H39" s="147">
        <f t="shared" si="5"/>
        <v>466155.4</v>
      </c>
      <c r="I39" s="160">
        <f t="shared" si="1"/>
        <v>0</v>
      </c>
      <c r="J39" s="160"/>
      <c r="K39" s="330"/>
      <c r="L39" s="162">
        <f t="shared" si="6"/>
        <v>0</v>
      </c>
      <c r="M39" s="330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2613705.2879598658</v>
      </c>
      <c r="E40" s="164">
        <f t="shared" si="2"/>
        <v>112428.4</v>
      </c>
      <c r="F40" s="163">
        <f t="shared" si="3"/>
        <v>2501276.8879598659</v>
      </c>
      <c r="G40" s="165">
        <f t="shared" si="4"/>
        <v>450939.4</v>
      </c>
      <c r="H40" s="147">
        <f t="shared" si="5"/>
        <v>450939.4</v>
      </c>
      <c r="I40" s="160">
        <f t="shared" si="1"/>
        <v>0</v>
      </c>
      <c r="J40" s="160"/>
      <c r="K40" s="330"/>
      <c r="L40" s="162">
        <f t="shared" si="6"/>
        <v>0</v>
      </c>
      <c r="M40" s="330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2501276.8879598659</v>
      </c>
      <c r="E41" s="164">
        <f t="shared" si="2"/>
        <v>112428.4</v>
      </c>
      <c r="F41" s="163">
        <f t="shared" si="3"/>
        <v>2388848.4879598659</v>
      </c>
      <c r="G41" s="165">
        <f t="shared" si="4"/>
        <v>435724.4</v>
      </c>
      <c r="H41" s="147">
        <f t="shared" si="5"/>
        <v>435724.4</v>
      </c>
      <c r="I41" s="160">
        <f t="shared" si="1"/>
        <v>0</v>
      </c>
      <c r="J41" s="160"/>
      <c r="K41" s="330"/>
      <c r="L41" s="162">
        <f t="shared" si="6"/>
        <v>0</v>
      </c>
      <c r="M41" s="330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2388848.4879598659</v>
      </c>
      <c r="E42" s="164">
        <f t="shared" si="2"/>
        <v>112428.4</v>
      </c>
      <c r="F42" s="163">
        <f t="shared" si="3"/>
        <v>2276420.087959866</v>
      </c>
      <c r="G42" s="165">
        <f t="shared" si="4"/>
        <v>420508.4</v>
      </c>
      <c r="H42" s="147">
        <f t="shared" si="5"/>
        <v>420508.4</v>
      </c>
      <c r="I42" s="160">
        <f t="shared" si="1"/>
        <v>0</v>
      </c>
      <c r="J42" s="160"/>
      <c r="K42" s="330"/>
      <c r="L42" s="162">
        <f t="shared" si="6"/>
        <v>0</v>
      </c>
      <c r="M42" s="330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2276420.087959866</v>
      </c>
      <c r="E43" s="164">
        <f t="shared" si="2"/>
        <v>112428.4</v>
      </c>
      <c r="F43" s="163">
        <f t="shared" si="3"/>
        <v>2163991.6879598661</v>
      </c>
      <c r="G43" s="165">
        <f t="shared" si="4"/>
        <v>405293.4</v>
      </c>
      <c r="H43" s="147">
        <f t="shared" si="5"/>
        <v>405293.4</v>
      </c>
      <c r="I43" s="160">
        <f t="shared" si="1"/>
        <v>0</v>
      </c>
      <c r="J43" s="160"/>
      <c r="K43" s="330"/>
      <c r="L43" s="162">
        <f t="shared" si="6"/>
        <v>0</v>
      </c>
      <c r="M43" s="330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2163991.6879598661</v>
      </c>
      <c r="E44" s="164">
        <f t="shared" si="2"/>
        <v>112428.4</v>
      </c>
      <c r="F44" s="163">
        <f t="shared" si="3"/>
        <v>2051563.2879598662</v>
      </c>
      <c r="G44" s="165">
        <f t="shared" si="4"/>
        <v>390077.4</v>
      </c>
      <c r="H44" s="147">
        <f t="shared" si="5"/>
        <v>390077.4</v>
      </c>
      <c r="I44" s="160">
        <f t="shared" si="1"/>
        <v>0</v>
      </c>
      <c r="J44" s="160"/>
      <c r="K44" s="330"/>
      <c r="L44" s="162">
        <f t="shared" si="6"/>
        <v>0</v>
      </c>
      <c r="M44" s="330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2051563.2879598662</v>
      </c>
      <c r="E45" s="164">
        <f t="shared" si="2"/>
        <v>112428.4</v>
      </c>
      <c r="F45" s="163">
        <f t="shared" si="3"/>
        <v>1939134.8879598663</v>
      </c>
      <c r="G45" s="165">
        <f t="shared" si="4"/>
        <v>374862.4</v>
      </c>
      <c r="H45" s="147">
        <f t="shared" si="5"/>
        <v>374862.4</v>
      </c>
      <c r="I45" s="160">
        <f t="shared" si="1"/>
        <v>0</v>
      </c>
      <c r="J45" s="160"/>
      <c r="K45" s="330"/>
      <c r="L45" s="162">
        <f t="shared" si="6"/>
        <v>0</v>
      </c>
      <c r="M45" s="330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1939134.8879598663</v>
      </c>
      <c r="E46" s="164">
        <f t="shared" si="2"/>
        <v>112428.4</v>
      </c>
      <c r="F46" s="163">
        <f t="shared" si="3"/>
        <v>1826706.4879598664</v>
      </c>
      <c r="G46" s="165">
        <f t="shared" si="4"/>
        <v>359646.4</v>
      </c>
      <c r="H46" s="147">
        <f t="shared" si="5"/>
        <v>359646.4</v>
      </c>
      <c r="I46" s="160">
        <f t="shared" si="1"/>
        <v>0</v>
      </c>
      <c r="J46" s="160"/>
      <c r="K46" s="330"/>
      <c r="L46" s="162">
        <f t="shared" si="6"/>
        <v>0</v>
      </c>
      <c r="M46" s="330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1826706.4879598664</v>
      </c>
      <c r="E47" s="164">
        <f t="shared" si="2"/>
        <v>112428.4</v>
      </c>
      <c r="F47" s="163">
        <f t="shared" si="3"/>
        <v>1714278.0879598665</v>
      </c>
      <c r="G47" s="165">
        <f t="shared" si="4"/>
        <v>344431.4</v>
      </c>
      <c r="H47" s="147">
        <f t="shared" si="5"/>
        <v>344431.4</v>
      </c>
      <c r="I47" s="160">
        <f t="shared" si="1"/>
        <v>0</v>
      </c>
      <c r="J47" s="160"/>
      <c r="K47" s="330"/>
      <c r="L47" s="162">
        <f t="shared" si="6"/>
        <v>0</v>
      </c>
      <c r="M47" s="330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1714278.0879598665</v>
      </c>
      <c r="E48" s="164">
        <f t="shared" si="2"/>
        <v>112428.4</v>
      </c>
      <c r="F48" s="163">
        <f t="shared" si="3"/>
        <v>1601849.6879598666</v>
      </c>
      <c r="G48" s="165">
        <f t="shared" si="4"/>
        <v>329215.40000000002</v>
      </c>
      <c r="H48" s="147">
        <f t="shared" si="5"/>
        <v>329215.40000000002</v>
      </c>
      <c r="I48" s="160">
        <f t="shared" si="1"/>
        <v>0</v>
      </c>
      <c r="J48" s="160"/>
      <c r="K48" s="330"/>
      <c r="L48" s="162">
        <f t="shared" si="6"/>
        <v>0</v>
      </c>
      <c r="M48" s="330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1601849.6879598666</v>
      </c>
      <c r="E49" s="164">
        <f t="shared" si="2"/>
        <v>112428.4</v>
      </c>
      <c r="F49" s="163">
        <f t="shared" si="3"/>
        <v>1489421.2879598667</v>
      </c>
      <c r="G49" s="165">
        <f t="shared" si="4"/>
        <v>313999.40000000002</v>
      </c>
      <c r="H49" s="147">
        <f t="shared" si="5"/>
        <v>313999.40000000002</v>
      </c>
      <c r="I49" s="160">
        <f t="shared" si="1"/>
        <v>0</v>
      </c>
      <c r="J49" s="160"/>
      <c r="K49" s="330"/>
      <c r="L49" s="162">
        <f t="shared" si="6"/>
        <v>0</v>
      </c>
      <c r="M49" s="330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1489421.2879598667</v>
      </c>
      <c r="E50" s="164">
        <f t="shared" si="2"/>
        <v>112428.4</v>
      </c>
      <c r="F50" s="163">
        <f t="shared" si="3"/>
        <v>1376992.8879598668</v>
      </c>
      <c r="G50" s="165">
        <f t="shared" si="4"/>
        <v>298784.40000000002</v>
      </c>
      <c r="H50" s="147">
        <f t="shared" si="5"/>
        <v>298784.40000000002</v>
      </c>
      <c r="I50" s="160">
        <f t="shared" si="1"/>
        <v>0</v>
      </c>
      <c r="J50" s="160"/>
      <c r="K50" s="330"/>
      <c r="L50" s="162">
        <f t="shared" si="6"/>
        <v>0</v>
      </c>
      <c r="M50" s="330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1376992.8879598668</v>
      </c>
      <c r="E51" s="164">
        <f t="shared" si="2"/>
        <v>112428.4</v>
      </c>
      <c r="F51" s="163">
        <f t="shared" si="3"/>
        <v>1264564.4879598669</v>
      </c>
      <c r="G51" s="165">
        <f t="shared" si="4"/>
        <v>283568.40000000002</v>
      </c>
      <c r="H51" s="147">
        <f t="shared" si="5"/>
        <v>283568.40000000002</v>
      </c>
      <c r="I51" s="160">
        <f t="shared" si="1"/>
        <v>0</v>
      </c>
      <c r="J51" s="160"/>
      <c r="K51" s="330"/>
      <c r="L51" s="162">
        <f t="shared" si="6"/>
        <v>0</v>
      </c>
      <c r="M51" s="330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1264564.4879598669</v>
      </c>
      <c r="E52" s="164">
        <f t="shared" si="2"/>
        <v>112428.4</v>
      </c>
      <c r="F52" s="163">
        <f t="shared" si="3"/>
        <v>1152136.087959867</v>
      </c>
      <c r="G52" s="165">
        <f t="shared" si="4"/>
        <v>268353.40000000002</v>
      </c>
      <c r="H52" s="147">
        <f t="shared" si="5"/>
        <v>268353.40000000002</v>
      </c>
      <c r="I52" s="160">
        <f t="shared" si="1"/>
        <v>0</v>
      </c>
      <c r="J52" s="160"/>
      <c r="K52" s="330"/>
      <c r="L52" s="162">
        <f t="shared" si="6"/>
        <v>0</v>
      </c>
      <c r="M52" s="330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1152136.087959867</v>
      </c>
      <c r="E53" s="164">
        <f t="shared" si="2"/>
        <v>112428.4</v>
      </c>
      <c r="F53" s="163">
        <f t="shared" si="3"/>
        <v>1039707.6879598669</v>
      </c>
      <c r="G53" s="165">
        <f t="shared" si="4"/>
        <v>253137.4</v>
      </c>
      <c r="H53" s="147">
        <f t="shared" si="5"/>
        <v>253137.4</v>
      </c>
      <c r="I53" s="160">
        <f t="shared" si="1"/>
        <v>0</v>
      </c>
      <c r="J53" s="160"/>
      <c r="K53" s="330"/>
      <c r="L53" s="162">
        <f t="shared" si="6"/>
        <v>0</v>
      </c>
      <c r="M53" s="330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1039707.6879598669</v>
      </c>
      <c r="E54" s="164">
        <f t="shared" si="2"/>
        <v>112428.4</v>
      </c>
      <c r="F54" s="163">
        <f t="shared" si="3"/>
        <v>927279.28795986692</v>
      </c>
      <c r="G54" s="165">
        <f t="shared" si="4"/>
        <v>237922.4</v>
      </c>
      <c r="H54" s="147">
        <f t="shared" si="5"/>
        <v>237922.4</v>
      </c>
      <c r="I54" s="160">
        <f t="shared" si="1"/>
        <v>0</v>
      </c>
      <c r="J54" s="160"/>
      <c r="K54" s="330"/>
      <c r="L54" s="162">
        <f t="shared" si="6"/>
        <v>0</v>
      </c>
      <c r="M54" s="330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927279.28795986692</v>
      </c>
      <c r="E55" s="164">
        <f t="shared" si="2"/>
        <v>112428.4</v>
      </c>
      <c r="F55" s="163">
        <f t="shared" si="3"/>
        <v>814850.8879598669</v>
      </c>
      <c r="G55" s="165">
        <f t="shared" si="4"/>
        <v>222706.4</v>
      </c>
      <c r="H55" s="147">
        <f t="shared" si="5"/>
        <v>222706.4</v>
      </c>
      <c r="I55" s="160">
        <f t="shared" si="1"/>
        <v>0</v>
      </c>
      <c r="J55" s="160"/>
      <c r="K55" s="330"/>
      <c r="L55" s="162">
        <f t="shared" si="6"/>
        <v>0</v>
      </c>
      <c r="M55" s="330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814850.8879598669</v>
      </c>
      <c r="E56" s="164">
        <f t="shared" si="2"/>
        <v>112428.4</v>
      </c>
      <c r="F56" s="163">
        <f t="shared" si="3"/>
        <v>702422.48795986688</v>
      </c>
      <c r="G56" s="165">
        <f t="shared" si="4"/>
        <v>207491.4</v>
      </c>
      <c r="H56" s="147">
        <f t="shared" si="5"/>
        <v>207491.4</v>
      </c>
      <c r="I56" s="160">
        <f t="shared" si="1"/>
        <v>0</v>
      </c>
      <c r="J56" s="160"/>
      <c r="K56" s="330"/>
      <c r="L56" s="162">
        <f t="shared" si="6"/>
        <v>0</v>
      </c>
      <c r="M56" s="330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702422.48795986688</v>
      </c>
      <c r="E57" s="164">
        <f t="shared" si="2"/>
        <v>112428.4</v>
      </c>
      <c r="F57" s="163">
        <f t="shared" si="3"/>
        <v>589994.08795986685</v>
      </c>
      <c r="G57" s="165">
        <f t="shared" si="4"/>
        <v>192275.4</v>
      </c>
      <c r="H57" s="147">
        <f t="shared" si="5"/>
        <v>192275.4</v>
      </c>
      <c r="I57" s="160">
        <f t="shared" si="1"/>
        <v>0</v>
      </c>
      <c r="J57" s="160"/>
      <c r="K57" s="330"/>
      <c r="L57" s="162">
        <f t="shared" si="6"/>
        <v>0</v>
      </c>
      <c r="M57" s="330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589994.08795986685</v>
      </c>
      <c r="E58" s="164">
        <f t="shared" si="2"/>
        <v>112428.4</v>
      </c>
      <c r="F58" s="163">
        <f t="shared" si="3"/>
        <v>477565.68795986683</v>
      </c>
      <c r="G58" s="165">
        <f t="shared" si="4"/>
        <v>177060.4</v>
      </c>
      <c r="H58" s="147">
        <f t="shared" si="5"/>
        <v>177060.4</v>
      </c>
      <c r="I58" s="160">
        <f t="shared" si="1"/>
        <v>0</v>
      </c>
      <c r="J58" s="160"/>
      <c r="K58" s="330"/>
      <c r="L58" s="162">
        <f t="shared" si="6"/>
        <v>0</v>
      </c>
      <c r="M58" s="330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477565.68795986683</v>
      </c>
      <c r="E59" s="164">
        <f t="shared" si="2"/>
        <v>112428.4</v>
      </c>
      <c r="F59" s="163">
        <f t="shared" si="3"/>
        <v>365137.28795986681</v>
      </c>
      <c r="G59" s="165">
        <f t="shared" si="4"/>
        <v>161844.4</v>
      </c>
      <c r="H59" s="147">
        <f t="shared" si="5"/>
        <v>161844.4</v>
      </c>
      <c r="I59" s="160">
        <f t="shared" si="1"/>
        <v>0</v>
      </c>
      <c r="J59" s="160"/>
      <c r="K59" s="330"/>
      <c r="L59" s="162">
        <f t="shared" si="6"/>
        <v>0</v>
      </c>
      <c r="M59" s="330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365137.28795986681</v>
      </c>
      <c r="E60" s="164">
        <f t="shared" si="2"/>
        <v>112428.4</v>
      </c>
      <c r="F60" s="163">
        <f t="shared" si="3"/>
        <v>252708.88795986681</v>
      </c>
      <c r="G60" s="165">
        <f t="shared" si="4"/>
        <v>146628.4</v>
      </c>
      <c r="H60" s="147">
        <f t="shared" si="5"/>
        <v>146628.4</v>
      </c>
      <c r="I60" s="160">
        <f t="shared" si="1"/>
        <v>0</v>
      </c>
      <c r="J60" s="160"/>
      <c r="K60" s="330"/>
      <c r="L60" s="162">
        <f t="shared" si="6"/>
        <v>0</v>
      </c>
      <c r="M60" s="330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252708.88795986681</v>
      </c>
      <c r="E61" s="164">
        <f t="shared" si="2"/>
        <v>112428.4</v>
      </c>
      <c r="F61" s="163">
        <f t="shared" si="3"/>
        <v>140280.48795986682</v>
      </c>
      <c r="G61" s="165">
        <f t="shared" si="4"/>
        <v>131413.4</v>
      </c>
      <c r="H61" s="147">
        <f t="shared" si="5"/>
        <v>131413.4</v>
      </c>
      <c r="I61" s="160">
        <f t="shared" si="1"/>
        <v>0</v>
      </c>
      <c r="J61" s="160"/>
      <c r="K61" s="330"/>
      <c r="L61" s="162">
        <f t="shared" si="6"/>
        <v>0</v>
      </c>
      <c r="M61" s="330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140280.48795986682</v>
      </c>
      <c r="E62" s="164">
        <f t="shared" si="2"/>
        <v>112428.4</v>
      </c>
      <c r="F62" s="163">
        <f t="shared" si="3"/>
        <v>27852.087959866825</v>
      </c>
      <c r="G62" s="165">
        <f t="shared" si="4"/>
        <v>116197.4</v>
      </c>
      <c r="H62" s="147">
        <f t="shared" si="5"/>
        <v>116197.4</v>
      </c>
      <c r="I62" s="160">
        <f t="shared" si="1"/>
        <v>0</v>
      </c>
      <c r="J62" s="160"/>
      <c r="K62" s="330"/>
      <c r="L62" s="162">
        <f t="shared" si="6"/>
        <v>0</v>
      </c>
      <c r="M62" s="330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27852.087959866825</v>
      </c>
      <c r="E63" s="164">
        <f t="shared" si="2"/>
        <v>27852.087959866825</v>
      </c>
      <c r="F63" s="163">
        <f t="shared" si="3"/>
        <v>0</v>
      </c>
      <c r="G63" s="165">
        <f t="shared" si="4"/>
        <v>27852.087959866825</v>
      </c>
      <c r="H63" s="147">
        <f t="shared" si="5"/>
        <v>27852.087959866825</v>
      </c>
      <c r="I63" s="160">
        <f t="shared" si="1"/>
        <v>0</v>
      </c>
      <c r="J63" s="160"/>
      <c r="K63" s="330"/>
      <c r="L63" s="162">
        <f t="shared" si="6"/>
        <v>0</v>
      </c>
      <c r="M63" s="330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0"/>
      <c r="L64" s="162">
        <f t="shared" si="6"/>
        <v>0</v>
      </c>
      <c r="M64" s="330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0"/>
      <c r="L65" s="162">
        <f t="shared" si="6"/>
        <v>0</v>
      </c>
      <c r="M65" s="330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0"/>
      <c r="L66" s="162">
        <f t="shared" si="6"/>
        <v>0</v>
      </c>
      <c r="M66" s="330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0"/>
      <c r="L67" s="162">
        <f t="shared" si="6"/>
        <v>0</v>
      </c>
      <c r="M67" s="330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0"/>
      <c r="L68" s="162">
        <f t="shared" si="6"/>
        <v>0</v>
      </c>
      <c r="M68" s="330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0"/>
      <c r="L69" s="162">
        <f t="shared" si="6"/>
        <v>0</v>
      </c>
      <c r="M69" s="330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0"/>
      <c r="L70" s="162">
        <f t="shared" si="6"/>
        <v>0</v>
      </c>
      <c r="M70" s="330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0"/>
      <c r="L71" s="162">
        <f t="shared" si="6"/>
        <v>0</v>
      </c>
      <c r="M71" s="330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3">
        <f>IF(F71+SUM(E$17:E71)=D$10,F71,D$10-SUM(E$17:E71))</f>
        <v>0</v>
      </c>
      <c r="E72" s="164">
        <f t="shared" si="2"/>
        <v>0</v>
      </c>
      <c r="F72" s="163">
        <f t="shared" si="3"/>
        <v>0</v>
      </c>
      <c r="G72" s="165">
        <f t="shared" si="4"/>
        <v>0</v>
      </c>
      <c r="H72" s="147">
        <f t="shared" si="5"/>
        <v>0</v>
      </c>
      <c r="I72" s="160">
        <f t="shared" si="1"/>
        <v>0</v>
      </c>
      <c r="J72" s="160"/>
      <c r="K72" s="331"/>
      <c r="L72" s="173">
        <f t="shared" si="6"/>
        <v>0</v>
      </c>
      <c r="M72" s="331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77</v>
      </c>
      <c r="D73" s="115"/>
      <c r="E73" s="115">
        <f>SUM(E17:E72)</f>
        <v>5059278.0000000009</v>
      </c>
      <c r="F73" s="115"/>
      <c r="G73" s="115">
        <f>SUM(G17:G72)</f>
        <v>21007896.946145047</v>
      </c>
      <c r="H73" s="115">
        <f>SUM(H17:H72)</f>
        <v>21007896.946145047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16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740035.4</v>
      </c>
      <c r="N87" s="202">
        <f>IF(J92&lt;D11,0,VLOOKUP(J92,C17:O72,11))</f>
        <v>740035.4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598764.03634994966</v>
      </c>
      <c r="N88" s="204">
        <f>IF(J92&lt;D11,0,VLOOKUP(J92,C99:P154,7))</f>
        <v>598764.03634994966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Cornville Station Conversion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-141271.36365005036</v>
      </c>
      <c r="N89" s="207">
        <f>+N88-N87</f>
        <v>-141271.36365005036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TP2011093</v>
      </c>
      <c r="E91" s="210" t="str">
        <f>E9</f>
        <v xml:space="preserve">  SPP Project ID = 30346</v>
      </c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5059278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2014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12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117658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2014</v>
      </c>
      <c r="D99" s="413">
        <v>0</v>
      </c>
      <c r="E99" s="414">
        <v>0</v>
      </c>
      <c r="F99" s="415">
        <v>4992922.66</v>
      </c>
      <c r="G99" s="425">
        <v>2496461.33</v>
      </c>
      <c r="H99" s="426">
        <v>350992.25806989282</v>
      </c>
      <c r="I99" s="427">
        <v>350992.25806989282</v>
      </c>
      <c r="J99" s="162">
        <v>0</v>
      </c>
      <c r="K99" s="162"/>
      <c r="L99" s="333">
        <f>H99</f>
        <v>350992.25806989282</v>
      </c>
      <c r="M99" s="175">
        <f>IF(L99&lt;&gt;0,+H99-L99,0)</f>
        <v>0</v>
      </c>
      <c r="N99" s="333">
        <f>I99</f>
        <v>350992.25806989282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2015</v>
      </c>
      <c r="D100" s="413">
        <v>5071338</v>
      </c>
      <c r="E100" s="414">
        <v>97526</v>
      </c>
      <c r="F100" s="415">
        <v>4973812</v>
      </c>
      <c r="G100" s="415">
        <v>5022575</v>
      </c>
      <c r="H100" s="426">
        <v>782815.97525692882</v>
      </c>
      <c r="I100" s="427">
        <v>782815.97525692882</v>
      </c>
      <c r="J100" s="162">
        <f>+I100-H100</f>
        <v>0</v>
      </c>
      <c r="K100" s="162"/>
      <c r="L100" s="333">
        <f>H100</f>
        <v>782815.97525692882</v>
      </c>
      <c r="M100" s="175">
        <f>IF(L100&lt;&gt;0,+H100-L100,0)</f>
        <v>0</v>
      </c>
      <c r="N100" s="333">
        <f>I100</f>
        <v>782815.97525692882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>IU</v>
      </c>
      <c r="C101" s="157">
        <f>IF(D93="","-",+C100+1)</f>
        <v>2016</v>
      </c>
      <c r="D101" s="413">
        <v>4961752</v>
      </c>
      <c r="E101" s="414">
        <v>109984</v>
      </c>
      <c r="F101" s="415">
        <v>4851768</v>
      </c>
      <c r="G101" s="415">
        <v>4906760</v>
      </c>
      <c r="H101" s="426">
        <v>742542.63994670648</v>
      </c>
      <c r="I101" s="427">
        <v>742542.63994670648</v>
      </c>
      <c r="J101" s="162">
        <f t="shared" ref="J101:J154" si="10">+I101-H101</f>
        <v>0</v>
      </c>
      <c r="K101" s="162"/>
      <c r="L101" s="333">
        <f>H101</f>
        <v>742542.63994670648</v>
      </c>
      <c r="M101" s="175">
        <f>IF(L101&lt;&gt;0,+H101-L101,0)</f>
        <v>0</v>
      </c>
      <c r="N101" s="333">
        <f>I101</f>
        <v>742542.63994670648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413">
        <v>4851768</v>
      </c>
      <c r="E102" s="414">
        <v>109984</v>
      </c>
      <c r="F102" s="415">
        <v>4741784</v>
      </c>
      <c r="G102" s="415">
        <v>4796776</v>
      </c>
      <c r="H102" s="426">
        <v>718467.13067498105</v>
      </c>
      <c r="I102" s="427">
        <v>718467.13067498105</v>
      </c>
      <c r="J102" s="162">
        <f t="shared" si="10"/>
        <v>0</v>
      </c>
      <c r="K102" s="162"/>
      <c r="L102" s="333">
        <f>H102</f>
        <v>718467.13067498105</v>
      </c>
      <c r="M102" s="175">
        <f>IF(L102&lt;&gt;0,+H102-L102,0)</f>
        <v>0</v>
      </c>
      <c r="N102" s="333">
        <f>I102</f>
        <v>718467.13067498105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4741784</v>
      </c>
      <c r="E103" s="164">
        <f t="shared" ref="E103:E154" si="11">IF(+J$96&lt;F102,J$96,D103)</f>
        <v>117658</v>
      </c>
      <c r="F103" s="163">
        <f t="shared" ref="F103:F154" si="12">+D103-E103</f>
        <v>4624126</v>
      </c>
      <c r="G103" s="163">
        <f t="shared" ref="G103:G154" si="13">+(F103+D103)/2</f>
        <v>4682955</v>
      </c>
      <c r="H103" s="167">
        <f t="shared" ref="H103:H154" si="14">+J$94*G103+E103</f>
        <v>598764.03634994966</v>
      </c>
      <c r="I103" s="312">
        <f t="shared" ref="I103:I154" si="15">+J$95*G103+E103</f>
        <v>598764.03634994966</v>
      </c>
      <c r="J103" s="162">
        <f t="shared" si="10"/>
        <v>0</v>
      </c>
      <c r="K103" s="162"/>
      <c r="L103" s="330"/>
      <c r="M103" s="162">
        <f t="shared" ref="M103:M130" si="16">IF(L103&lt;&gt;0,+H103-L103,0)</f>
        <v>0</v>
      </c>
      <c r="N103" s="330"/>
      <c r="O103" s="162">
        <f t="shared" ref="O103:O130" si="17">IF(N103&lt;&gt;0,+I103-N103,0)</f>
        <v>0</v>
      </c>
      <c r="P103" s="162">
        <f t="shared" ref="P103:P130" si="18">+O103-M103</f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4624126</v>
      </c>
      <c r="E104" s="164">
        <f t="shared" si="11"/>
        <v>117658</v>
      </c>
      <c r="F104" s="163">
        <f t="shared" si="12"/>
        <v>4506468</v>
      </c>
      <c r="G104" s="163">
        <f t="shared" si="13"/>
        <v>4565297</v>
      </c>
      <c r="H104" s="167">
        <f t="shared" si="14"/>
        <v>586676.37502822815</v>
      </c>
      <c r="I104" s="312">
        <f t="shared" si="15"/>
        <v>586676.37502822815</v>
      </c>
      <c r="J104" s="162">
        <f t="shared" si="10"/>
        <v>0</v>
      </c>
      <c r="K104" s="162"/>
      <c r="L104" s="330"/>
      <c r="M104" s="162">
        <f t="shared" si="16"/>
        <v>0</v>
      </c>
      <c r="N104" s="330"/>
      <c r="O104" s="162">
        <f t="shared" si="17"/>
        <v>0</v>
      </c>
      <c r="P104" s="162">
        <f t="shared" si="18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4506468</v>
      </c>
      <c r="E105" s="164">
        <f t="shared" si="11"/>
        <v>117658</v>
      </c>
      <c r="F105" s="163">
        <f t="shared" si="12"/>
        <v>4388810</v>
      </c>
      <c r="G105" s="163">
        <f t="shared" si="13"/>
        <v>4447639</v>
      </c>
      <c r="H105" s="167">
        <f t="shared" si="14"/>
        <v>574588.71370650665</v>
      </c>
      <c r="I105" s="312">
        <f t="shared" si="15"/>
        <v>574588.71370650665</v>
      </c>
      <c r="J105" s="162">
        <f t="shared" si="10"/>
        <v>0</v>
      </c>
      <c r="K105" s="162"/>
      <c r="L105" s="330"/>
      <c r="M105" s="162">
        <f t="shared" si="16"/>
        <v>0</v>
      </c>
      <c r="N105" s="330"/>
      <c r="O105" s="162">
        <f t="shared" si="17"/>
        <v>0</v>
      </c>
      <c r="P105" s="162">
        <f t="shared" si="18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4388810</v>
      </c>
      <c r="E106" s="164">
        <f t="shared" si="11"/>
        <v>117658</v>
      </c>
      <c r="F106" s="163">
        <f t="shared" si="12"/>
        <v>4271152</v>
      </c>
      <c r="G106" s="163">
        <f t="shared" si="13"/>
        <v>4329981</v>
      </c>
      <c r="H106" s="167">
        <f t="shared" si="14"/>
        <v>562501.05238478514</v>
      </c>
      <c r="I106" s="312">
        <f t="shared" si="15"/>
        <v>562501.05238478514</v>
      </c>
      <c r="J106" s="162">
        <f t="shared" si="10"/>
        <v>0</v>
      </c>
      <c r="K106" s="162"/>
      <c r="L106" s="330"/>
      <c r="M106" s="162">
        <f t="shared" si="16"/>
        <v>0</v>
      </c>
      <c r="N106" s="330"/>
      <c r="O106" s="162">
        <f t="shared" si="17"/>
        <v>0</v>
      </c>
      <c r="P106" s="162">
        <f t="shared" si="18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4271152</v>
      </c>
      <c r="E107" s="164">
        <f t="shared" si="11"/>
        <v>117658</v>
      </c>
      <c r="F107" s="163">
        <f t="shared" si="12"/>
        <v>4153494</v>
      </c>
      <c r="G107" s="163">
        <f t="shared" si="13"/>
        <v>4212323</v>
      </c>
      <c r="H107" s="167">
        <f t="shared" si="14"/>
        <v>550413.39106306364</v>
      </c>
      <c r="I107" s="312">
        <f t="shared" si="15"/>
        <v>550413.39106306364</v>
      </c>
      <c r="J107" s="162">
        <f t="shared" si="10"/>
        <v>0</v>
      </c>
      <c r="K107" s="162"/>
      <c r="L107" s="330"/>
      <c r="M107" s="162">
        <f t="shared" si="16"/>
        <v>0</v>
      </c>
      <c r="N107" s="330"/>
      <c r="O107" s="162">
        <f t="shared" si="17"/>
        <v>0</v>
      </c>
      <c r="P107" s="162">
        <f t="shared" si="18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4153494</v>
      </c>
      <c r="E108" s="164">
        <f t="shared" si="11"/>
        <v>117658</v>
      </c>
      <c r="F108" s="163">
        <f t="shared" si="12"/>
        <v>4035836</v>
      </c>
      <c r="G108" s="163">
        <f t="shared" si="13"/>
        <v>4094665</v>
      </c>
      <c r="H108" s="167">
        <f t="shared" si="14"/>
        <v>538325.72974134213</v>
      </c>
      <c r="I108" s="312">
        <f t="shared" si="15"/>
        <v>538325.72974134213</v>
      </c>
      <c r="J108" s="162">
        <f t="shared" si="10"/>
        <v>0</v>
      </c>
      <c r="K108" s="162"/>
      <c r="L108" s="330"/>
      <c r="M108" s="162">
        <f t="shared" si="16"/>
        <v>0</v>
      </c>
      <c r="N108" s="330"/>
      <c r="O108" s="162">
        <f t="shared" si="17"/>
        <v>0</v>
      </c>
      <c r="P108" s="162">
        <f t="shared" si="18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4035836</v>
      </c>
      <c r="E109" s="164">
        <f t="shared" si="11"/>
        <v>117658</v>
      </c>
      <c r="F109" s="163">
        <f t="shared" si="12"/>
        <v>3918178</v>
      </c>
      <c r="G109" s="163">
        <f t="shared" si="13"/>
        <v>3977007</v>
      </c>
      <c r="H109" s="167">
        <f t="shared" si="14"/>
        <v>526238.06841962063</v>
      </c>
      <c r="I109" s="312">
        <f t="shared" si="15"/>
        <v>526238.06841962063</v>
      </c>
      <c r="J109" s="162">
        <f t="shared" si="10"/>
        <v>0</v>
      </c>
      <c r="K109" s="162"/>
      <c r="L109" s="330"/>
      <c r="M109" s="162">
        <f t="shared" si="16"/>
        <v>0</v>
      </c>
      <c r="N109" s="330"/>
      <c r="O109" s="162">
        <f t="shared" si="17"/>
        <v>0</v>
      </c>
      <c r="P109" s="162">
        <f t="shared" si="18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3918178</v>
      </c>
      <c r="E110" s="164">
        <f t="shared" si="11"/>
        <v>117658</v>
      </c>
      <c r="F110" s="163">
        <f t="shared" si="12"/>
        <v>3800520</v>
      </c>
      <c r="G110" s="163">
        <f t="shared" si="13"/>
        <v>3859349</v>
      </c>
      <c r="H110" s="167">
        <f t="shared" si="14"/>
        <v>514150.40709789906</v>
      </c>
      <c r="I110" s="312">
        <f t="shared" si="15"/>
        <v>514150.40709789906</v>
      </c>
      <c r="J110" s="162">
        <f t="shared" si="10"/>
        <v>0</v>
      </c>
      <c r="K110" s="162"/>
      <c r="L110" s="330"/>
      <c r="M110" s="162">
        <f t="shared" si="16"/>
        <v>0</v>
      </c>
      <c r="N110" s="330"/>
      <c r="O110" s="162">
        <f t="shared" si="17"/>
        <v>0</v>
      </c>
      <c r="P110" s="162">
        <f t="shared" si="18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3800520</v>
      </c>
      <c r="E111" s="164">
        <f t="shared" si="11"/>
        <v>117658</v>
      </c>
      <c r="F111" s="163">
        <f t="shared" si="12"/>
        <v>3682862</v>
      </c>
      <c r="G111" s="163">
        <f t="shared" si="13"/>
        <v>3741691</v>
      </c>
      <c r="H111" s="167">
        <f t="shared" si="14"/>
        <v>502062.74577617756</v>
      </c>
      <c r="I111" s="312">
        <f t="shared" si="15"/>
        <v>502062.74577617756</v>
      </c>
      <c r="J111" s="162">
        <f t="shared" si="10"/>
        <v>0</v>
      </c>
      <c r="K111" s="162"/>
      <c r="L111" s="330"/>
      <c r="M111" s="162">
        <f t="shared" si="16"/>
        <v>0</v>
      </c>
      <c r="N111" s="330"/>
      <c r="O111" s="162">
        <f t="shared" si="17"/>
        <v>0</v>
      </c>
      <c r="P111" s="162">
        <f t="shared" si="18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3682862</v>
      </c>
      <c r="E112" s="164">
        <f t="shared" si="11"/>
        <v>117658</v>
      </c>
      <c r="F112" s="163">
        <f t="shared" si="12"/>
        <v>3565204</v>
      </c>
      <c r="G112" s="163">
        <f t="shared" si="13"/>
        <v>3624033</v>
      </c>
      <c r="H112" s="167">
        <f t="shared" si="14"/>
        <v>489975.08445445605</v>
      </c>
      <c r="I112" s="312">
        <f t="shared" si="15"/>
        <v>489975.08445445605</v>
      </c>
      <c r="J112" s="162">
        <f t="shared" si="10"/>
        <v>0</v>
      </c>
      <c r="K112" s="162"/>
      <c r="L112" s="330"/>
      <c r="M112" s="162">
        <f t="shared" si="16"/>
        <v>0</v>
      </c>
      <c r="N112" s="330"/>
      <c r="O112" s="162">
        <f t="shared" si="17"/>
        <v>0</v>
      </c>
      <c r="P112" s="162">
        <f t="shared" si="18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3565204</v>
      </c>
      <c r="E113" s="164">
        <f t="shared" si="11"/>
        <v>117658</v>
      </c>
      <c r="F113" s="163">
        <f t="shared" si="12"/>
        <v>3447546</v>
      </c>
      <c r="G113" s="163">
        <f t="shared" si="13"/>
        <v>3506375</v>
      </c>
      <c r="H113" s="167">
        <f t="shared" si="14"/>
        <v>477887.42313273455</v>
      </c>
      <c r="I113" s="312">
        <f t="shared" si="15"/>
        <v>477887.42313273455</v>
      </c>
      <c r="J113" s="162">
        <f t="shared" si="10"/>
        <v>0</v>
      </c>
      <c r="K113" s="162"/>
      <c r="L113" s="330"/>
      <c r="M113" s="162">
        <f t="shared" si="16"/>
        <v>0</v>
      </c>
      <c r="N113" s="330"/>
      <c r="O113" s="162">
        <f t="shared" si="17"/>
        <v>0</v>
      </c>
      <c r="P113" s="162">
        <f t="shared" si="18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3447546</v>
      </c>
      <c r="E114" s="164">
        <f t="shared" si="11"/>
        <v>117658</v>
      </c>
      <c r="F114" s="163">
        <f t="shared" si="12"/>
        <v>3329888</v>
      </c>
      <c r="G114" s="163">
        <f t="shared" si="13"/>
        <v>3388717</v>
      </c>
      <c r="H114" s="167">
        <f t="shared" si="14"/>
        <v>465799.76181101298</v>
      </c>
      <c r="I114" s="312">
        <f t="shared" si="15"/>
        <v>465799.76181101298</v>
      </c>
      <c r="J114" s="162">
        <f t="shared" si="10"/>
        <v>0</v>
      </c>
      <c r="K114" s="162"/>
      <c r="L114" s="330"/>
      <c r="M114" s="162">
        <f t="shared" si="16"/>
        <v>0</v>
      </c>
      <c r="N114" s="330"/>
      <c r="O114" s="162">
        <f t="shared" si="17"/>
        <v>0</v>
      </c>
      <c r="P114" s="162">
        <f t="shared" si="18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3329888</v>
      </c>
      <c r="E115" s="164">
        <f t="shared" si="11"/>
        <v>117658</v>
      </c>
      <c r="F115" s="163">
        <f t="shared" si="12"/>
        <v>3212230</v>
      </c>
      <c r="G115" s="163">
        <f t="shared" si="13"/>
        <v>3271059</v>
      </c>
      <c r="H115" s="167">
        <f t="shared" si="14"/>
        <v>453712.10048929148</v>
      </c>
      <c r="I115" s="312">
        <f t="shared" si="15"/>
        <v>453712.10048929148</v>
      </c>
      <c r="J115" s="162">
        <f t="shared" si="10"/>
        <v>0</v>
      </c>
      <c r="K115" s="162"/>
      <c r="L115" s="330"/>
      <c r="M115" s="162">
        <f t="shared" si="16"/>
        <v>0</v>
      </c>
      <c r="N115" s="330"/>
      <c r="O115" s="162">
        <f t="shared" si="17"/>
        <v>0</v>
      </c>
      <c r="P115" s="162">
        <f t="shared" si="18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3212230</v>
      </c>
      <c r="E116" s="164">
        <f t="shared" si="11"/>
        <v>117658</v>
      </c>
      <c r="F116" s="163">
        <f t="shared" si="12"/>
        <v>3094572</v>
      </c>
      <c r="G116" s="163">
        <f t="shared" si="13"/>
        <v>3153401</v>
      </c>
      <c r="H116" s="167">
        <f t="shared" si="14"/>
        <v>441624.43916756997</v>
      </c>
      <c r="I116" s="312">
        <f t="shared" si="15"/>
        <v>441624.43916756997</v>
      </c>
      <c r="J116" s="162">
        <f t="shared" si="10"/>
        <v>0</v>
      </c>
      <c r="K116" s="162"/>
      <c r="L116" s="330"/>
      <c r="M116" s="162">
        <f t="shared" si="16"/>
        <v>0</v>
      </c>
      <c r="N116" s="330"/>
      <c r="O116" s="162">
        <f t="shared" si="17"/>
        <v>0</v>
      </c>
      <c r="P116" s="162">
        <f t="shared" si="18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3094572</v>
      </c>
      <c r="E117" s="164">
        <f t="shared" si="11"/>
        <v>117658</v>
      </c>
      <c r="F117" s="163">
        <f t="shared" si="12"/>
        <v>2976914</v>
      </c>
      <c r="G117" s="163">
        <f t="shared" si="13"/>
        <v>3035743</v>
      </c>
      <c r="H117" s="167">
        <f t="shared" si="14"/>
        <v>429536.77784584847</v>
      </c>
      <c r="I117" s="312">
        <f t="shared" si="15"/>
        <v>429536.77784584847</v>
      </c>
      <c r="J117" s="162">
        <f t="shared" si="10"/>
        <v>0</v>
      </c>
      <c r="K117" s="162"/>
      <c r="L117" s="330"/>
      <c r="M117" s="162">
        <f t="shared" si="16"/>
        <v>0</v>
      </c>
      <c r="N117" s="330"/>
      <c r="O117" s="162">
        <f t="shared" si="17"/>
        <v>0</v>
      </c>
      <c r="P117" s="162">
        <f t="shared" si="18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2976914</v>
      </c>
      <c r="E118" s="164">
        <f t="shared" si="11"/>
        <v>117658</v>
      </c>
      <c r="F118" s="163">
        <f t="shared" si="12"/>
        <v>2859256</v>
      </c>
      <c r="G118" s="163">
        <f t="shared" si="13"/>
        <v>2918085</v>
      </c>
      <c r="H118" s="167">
        <f t="shared" si="14"/>
        <v>417449.11652412696</v>
      </c>
      <c r="I118" s="312">
        <f t="shared" si="15"/>
        <v>417449.11652412696</v>
      </c>
      <c r="J118" s="162">
        <f t="shared" si="10"/>
        <v>0</v>
      </c>
      <c r="K118" s="162"/>
      <c r="L118" s="330"/>
      <c r="M118" s="162">
        <f t="shared" si="16"/>
        <v>0</v>
      </c>
      <c r="N118" s="330"/>
      <c r="O118" s="162">
        <f t="shared" si="17"/>
        <v>0</v>
      </c>
      <c r="P118" s="162">
        <f t="shared" si="18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2859256</v>
      </c>
      <c r="E119" s="164">
        <f t="shared" si="11"/>
        <v>117658</v>
      </c>
      <c r="F119" s="163">
        <f t="shared" si="12"/>
        <v>2741598</v>
      </c>
      <c r="G119" s="163">
        <f t="shared" si="13"/>
        <v>2800427</v>
      </c>
      <c r="H119" s="167">
        <f t="shared" si="14"/>
        <v>405361.45520240546</v>
      </c>
      <c r="I119" s="312">
        <f t="shared" si="15"/>
        <v>405361.45520240546</v>
      </c>
      <c r="J119" s="162">
        <f t="shared" si="10"/>
        <v>0</v>
      </c>
      <c r="K119" s="162"/>
      <c r="L119" s="330"/>
      <c r="M119" s="162">
        <f t="shared" si="16"/>
        <v>0</v>
      </c>
      <c r="N119" s="330"/>
      <c r="O119" s="162">
        <f t="shared" si="17"/>
        <v>0</v>
      </c>
      <c r="P119" s="162">
        <f t="shared" si="18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2741598</v>
      </c>
      <c r="E120" s="164">
        <f t="shared" si="11"/>
        <v>117658</v>
      </c>
      <c r="F120" s="163">
        <f t="shared" si="12"/>
        <v>2623940</v>
      </c>
      <c r="G120" s="163">
        <f t="shared" si="13"/>
        <v>2682769</v>
      </c>
      <c r="H120" s="167">
        <f t="shared" si="14"/>
        <v>393273.79388068389</v>
      </c>
      <c r="I120" s="312">
        <f t="shared" si="15"/>
        <v>393273.79388068389</v>
      </c>
      <c r="J120" s="162">
        <f t="shared" si="10"/>
        <v>0</v>
      </c>
      <c r="K120" s="162"/>
      <c r="L120" s="330"/>
      <c r="M120" s="162">
        <f t="shared" si="16"/>
        <v>0</v>
      </c>
      <c r="N120" s="330"/>
      <c r="O120" s="162">
        <f t="shared" si="17"/>
        <v>0</v>
      </c>
      <c r="P120" s="162">
        <f t="shared" si="18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2623940</v>
      </c>
      <c r="E121" s="164">
        <f t="shared" si="11"/>
        <v>117658</v>
      </c>
      <c r="F121" s="163">
        <f t="shared" si="12"/>
        <v>2506282</v>
      </c>
      <c r="G121" s="163">
        <f t="shared" si="13"/>
        <v>2565111</v>
      </c>
      <c r="H121" s="167">
        <f t="shared" si="14"/>
        <v>381186.13255896239</v>
      </c>
      <c r="I121" s="312">
        <f t="shared" si="15"/>
        <v>381186.13255896239</v>
      </c>
      <c r="J121" s="162">
        <f t="shared" si="10"/>
        <v>0</v>
      </c>
      <c r="K121" s="162"/>
      <c r="L121" s="330"/>
      <c r="M121" s="162">
        <f t="shared" si="16"/>
        <v>0</v>
      </c>
      <c r="N121" s="330"/>
      <c r="O121" s="162">
        <f t="shared" si="17"/>
        <v>0</v>
      </c>
      <c r="P121" s="162">
        <f t="shared" si="18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2506282</v>
      </c>
      <c r="E122" s="164">
        <f t="shared" si="11"/>
        <v>117658</v>
      </c>
      <c r="F122" s="163">
        <f t="shared" si="12"/>
        <v>2388624</v>
      </c>
      <c r="G122" s="163">
        <f t="shared" si="13"/>
        <v>2447453</v>
      </c>
      <c r="H122" s="167">
        <f t="shared" si="14"/>
        <v>369098.47123724088</v>
      </c>
      <c r="I122" s="312">
        <f t="shared" si="15"/>
        <v>369098.47123724088</v>
      </c>
      <c r="J122" s="162">
        <f t="shared" si="10"/>
        <v>0</v>
      </c>
      <c r="K122" s="162"/>
      <c r="L122" s="330"/>
      <c r="M122" s="162">
        <f t="shared" si="16"/>
        <v>0</v>
      </c>
      <c r="N122" s="330"/>
      <c r="O122" s="162">
        <f t="shared" si="17"/>
        <v>0</v>
      </c>
      <c r="P122" s="162">
        <f t="shared" si="18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2388624</v>
      </c>
      <c r="E123" s="164">
        <f t="shared" si="11"/>
        <v>117658</v>
      </c>
      <c r="F123" s="163">
        <f t="shared" si="12"/>
        <v>2270966</v>
      </c>
      <c r="G123" s="163">
        <f t="shared" si="13"/>
        <v>2329795</v>
      </c>
      <c r="H123" s="167">
        <f t="shared" si="14"/>
        <v>357010.80991551938</v>
      </c>
      <c r="I123" s="312">
        <f t="shared" si="15"/>
        <v>357010.80991551938</v>
      </c>
      <c r="J123" s="162">
        <f t="shared" si="10"/>
        <v>0</v>
      </c>
      <c r="K123" s="162"/>
      <c r="L123" s="330"/>
      <c r="M123" s="162">
        <f t="shared" si="16"/>
        <v>0</v>
      </c>
      <c r="N123" s="330"/>
      <c r="O123" s="162">
        <f t="shared" si="17"/>
        <v>0</v>
      </c>
      <c r="P123" s="162">
        <f t="shared" si="18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2270966</v>
      </c>
      <c r="E124" s="164">
        <f t="shared" si="11"/>
        <v>117658</v>
      </c>
      <c r="F124" s="163">
        <f t="shared" si="12"/>
        <v>2153308</v>
      </c>
      <c r="G124" s="163">
        <f t="shared" si="13"/>
        <v>2212137</v>
      </c>
      <c r="H124" s="167">
        <f t="shared" si="14"/>
        <v>344923.14859379781</v>
      </c>
      <c r="I124" s="312">
        <f t="shared" si="15"/>
        <v>344923.14859379781</v>
      </c>
      <c r="J124" s="162">
        <f t="shared" si="10"/>
        <v>0</v>
      </c>
      <c r="K124" s="162"/>
      <c r="L124" s="330"/>
      <c r="M124" s="162">
        <f t="shared" si="16"/>
        <v>0</v>
      </c>
      <c r="N124" s="330"/>
      <c r="O124" s="162">
        <f t="shared" si="17"/>
        <v>0</v>
      </c>
      <c r="P124" s="162">
        <f t="shared" si="18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2153308</v>
      </c>
      <c r="E125" s="164">
        <f t="shared" si="11"/>
        <v>117658</v>
      </c>
      <c r="F125" s="163">
        <f t="shared" si="12"/>
        <v>2035650</v>
      </c>
      <c r="G125" s="163">
        <f t="shared" si="13"/>
        <v>2094479</v>
      </c>
      <c r="H125" s="167">
        <f t="shared" si="14"/>
        <v>332835.48727207631</v>
      </c>
      <c r="I125" s="312">
        <f t="shared" si="15"/>
        <v>332835.48727207631</v>
      </c>
      <c r="J125" s="162">
        <f t="shared" si="10"/>
        <v>0</v>
      </c>
      <c r="K125" s="162"/>
      <c r="L125" s="330"/>
      <c r="M125" s="162">
        <f t="shared" si="16"/>
        <v>0</v>
      </c>
      <c r="N125" s="330"/>
      <c r="O125" s="162">
        <f t="shared" si="17"/>
        <v>0</v>
      </c>
      <c r="P125" s="162">
        <f t="shared" si="18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2035650</v>
      </c>
      <c r="E126" s="164">
        <f t="shared" si="11"/>
        <v>117658</v>
      </c>
      <c r="F126" s="163">
        <f t="shared" si="12"/>
        <v>1917992</v>
      </c>
      <c r="G126" s="163">
        <f t="shared" si="13"/>
        <v>1976821</v>
      </c>
      <c r="H126" s="167">
        <f t="shared" si="14"/>
        <v>320747.8259503548</v>
      </c>
      <c r="I126" s="312">
        <f t="shared" si="15"/>
        <v>320747.8259503548</v>
      </c>
      <c r="J126" s="162">
        <f t="shared" si="10"/>
        <v>0</v>
      </c>
      <c r="K126" s="162"/>
      <c r="L126" s="330"/>
      <c r="M126" s="162">
        <f t="shared" si="16"/>
        <v>0</v>
      </c>
      <c r="N126" s="330"/>
      <c r="O126" s="162">
        <f t="shared" si="17"/>
        <v>0</v>
      </c>
      <c r="P126" s="162">
        <f t="shared" si="18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1917992</v>
      </c>
      <c r="E127" s="164">
        <f t="shared" si="11"/>
        <v>117658</v>
      </c>
      <c r="F127" s="163">
        <f t="shared" si="12"/>
        <v>1800334</v>
      </c>
      <c r="G127" s="163">
        <f t="shared" si="13"/>
        <v>1859163</v>
      </c>
      <c r="H127" s="167">
        <f t="shared" si="14"/>
        <v>308660.1646286333</v>
      </c>
      <c r="I127" s="312">
        <f t="shared" si="15"/>
        <v>308660.1646286333</v>
      </c>
      <c r="J127" s="162">
        <f t="shared" si="10"/>
        <v>0</v>
      </c>
      <c r="K127" s="162"/>
      <c r="L127" s="330"/>
      <c r="M127" s="162">
        <f t="shared" si="16"/>
        <v>0</v>
      </c>
      <c r="N127" s="330"/>
      <c r="O127" s="162">
        <f t="shared" si="17"/>
        <v>0</v>
      </c>
      <c r="P127" s="162">
        <f t="shared" si="18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1800334</v>
      </c>
      <c r="E128" s="164">
        <f t="shared" si="11"/>
        <v>117658</v>
      </c>
      <c r="F128" s="163">
        <f t="shared" si="12"/>
        <v>1682676</v>
      </c>
      <c r="G128" s="163">
        <f t="shared" si="13"/>
        <v>1741505</v>
      </c>
      <c r="H128" s="167">
        <f t="shared" si="14"/>
        <v>296572.50330691179</v>
      </c>
      <c r="I128" s="312">
        <f t="shared" si="15"/>
        <v>296572.50330691179</v>
      </c>
      <c r="J128" s="162">
        <f t="shared" si="10"/>
        <v>0</v>
      </c>
      <c r="K128" s="162"/>
      <c r="L128" s="330"/>
      <c r="M128" s="162">
        <f t="shared" si="16"/>
        <v>0</v>
      </c>
      <c r="N128" s="330"/>
      <c r="O128" s="162">
        <f t="shared" si="17"/>
        <v>0</v>
      </c>
      <c r="P128" s="162">
        <f t="shared" si="18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1682676</v>
      </c>
      <c r="E129" s="164">
        <f t="shared" si="11"/>
        <v>117658</v>
      </c>
      <c r="F129" s="163">
        <f t="shared" si="12"/>
        <v>1565018</v>
      </c>
      <c r="G129" s="163">
        <f t="shared" si="13"/>
        <v>1623847</v>
      </c>
      <c r="H129" s="167">
        <f t="shared" si="14"/>
        <v>284484.84198519029</v>
      </c>
      <c r="I129" s="312">
        <f t="shared" si="15"/>
        <v>284484.84198519029</v>
      </c>
      <c r="J129" s="162">
        <f t="shared" si="10"/>
        <v>0</v>
      </c>
      <c r="K129" s="162"/>
      <c r="L129" s="330"/>
      <c r="M129" s="162">
        <f t="shared" si="16"/>
        <v>0</v>
      </c>
      <c r="N129" s="330"/>
      <c r="O129" s="162">
        <f t="shared" si="17"/>
        <v>0</v>
      </c>
      <c r="P129" s="162">
        <f t="shared" si="18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1565018</v>
      </c>
      <c r="E130" s="164">
        <f t="shared" si="11"/>
        <v>117658</v>
      </c>
      <c r="F130" s="163">
        <f t="shared" si="12"/>
        <v>1447360</v>
      </c>
      <c r="G130" s="163">
        <f t="shared" si="13"/>
        <v>1506189</v>
      </c>
      <c r="H130" s="167">
        <f t="shared" si="14"/>
        <v>272397.18066346878</v>
      </c>
      <c r="I130" s="312">
        <f t="shared" si="15"/>
        <v>272397.18066346878</v>
      </c>
      <c r="J130" s="162">
        <f t="shared" si="10"/>
        <v>0</v>
      </c>
      <c r="K130" s="162"/>
      <c r="L130" s="330"/>
      <c r="M130" s="162">
        <f t="shared" si="16"/>
        <v>0</v>
      </c>
      <c r="N130" s="330"/>
      <c r="O130" s="162">
        <f t="shared" si="17"/>
        <v>0</v>
      </c>
      <c r="P130" s="162">
        <f t="shared" si="18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1447360</v>
      </c>
      <c r="E131" s="164">
        <f t="shared" si="11"/>
        <v>117658</v>
      </c>
      <c r="F131" s="163">
        <f t="shared" si="12"/>
        <v>1329702</v>
      </c>
      <c r="G131" s="163">
        <f t="shared" si="13"/>
        <v>1388531</v>
      </c>
      <c r="H131" s="167">
        <f t="shared" si="14"/>
        <v>260309.51934174725</v>
      </c>
      <c r="I131" s="312">
        <f t="shared" si="15"/>
        <v>260309.51934174725</v>
      </c>
      <c r="J131" s="162">
        <f t="shared" si="10"/>
        <v>0</v>
      </c>
      <c r="K131" s="162"/>
      <c r="L131" s="330"/>
      <c r="M131" s="162">
        <f t="shared" ref="M131:M154" si="19">IF(L541&lt;&gt;0,+H541-L541,0)</f>
        <v>0</v>
      </c>
      <c r="N131" s="330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1329702</v>
      </c>
      <c r="E132" s="164">
        <f t="shared" si="11"/>
        <v>117658</v>
      </c>
      <c r="F132" s="163">
        <f t="shared" si="12"/>
        <v>1212044</v>
      </c>
      <c r="G132" s="163">
        <f t="shared" si="13"/>
        <v>1270873</v>
      </c>
      <c r="H132" s="167">
        <f t="shared" si="14"/>
        <v>248221.85802002571</v>
      </c>
      <c r="I132" s="312">
        <f t="shared" si="15"/>
        <v>248221.85802002571</v>
      </c>
      <c r="J132" s="162">
        <f t="shared" si="10"/>
        <v>0</v>
      </c>
      <c r="K132" s="162"/>
      <c r="L132" s="330"/>
      <c r="M132" s="162">
        <f t="shared" si="19"/>
        <v>0</v>
      </c>
      <c r="N132" s="330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1212044</v>
      </c>
      <c r="E133" s="164">
        <f t="shared" si="11"/>
        <v>117658</v>
      </c>
      <c r="F133" s="163">
        <f t="shared" si="12"/>
        <v>1094386</v>
      </c>
      <c r="G133" s="163">
        <f t="shared" si="13"/>
        <v>1153215</v>
      </c>
      <c r="H133" s="167">
        <f t="shared" si="14"/>
        <v>236134.19669830421</v>
      </c>
      <c r="I133" s="312">
        <f t="shared" si="15"/>
        <v>236134.19669830421</v>
      </c>
      <c r="J133" s="162">
        <f t="shared" si="10"/>
        <v>0</v>
      </c>
      <c r="K133" s="162"/>
      <c r="L133" s="330"/>
      <c r="M133" s="162">
        <f t="shared" si="19"/>
        <v>0</v>
      </c>
      <c r="N133" s="330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1094386</v>
      </c>
      <c r="E134" s="164">
        <f t="shared" si="11"/>
        <v>117658</v>
      </c>
      <c r="F134" s="163">
        <f t="shared" si="12"/>
        <v>976728</v>
      </c>
      <c r="G134" s="163">
        <f t="shared" si="13"/>
        <v>1035557</v>
      </c>
      <c r="H134" s="167">
        <f t="shared" si="14"/>
        <v>224046.5353765827</v>
      </c>
      <c r="I134" s="312">
        <f t="shared" si="15"/>
        <v>224046.5353765827</v>
      </c>
      <c r="J134" s="162">
        <f t="shared" si="10"/>
        <v>0</v>
      </c>
      <c r="K134" s="162"/>
      <c r="L134" s="330"/>
      <c r="M134" s="162">
        <f t="shared" si="19"/>
        <v>0</v>
      </c>
      <c r="N134" s="330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976728</v>
      </c>
      <c r="E135" s="164">
        <f t="shared" si="11"/>
        <v>117658</v>
      </c>
      <c r="F135" s="163">
        <f t="shared" si="12"/>
        <v>859070</v>
      </c>
      <c r="G135" s="163">
        <f t="shared" si="13"/>
        <v>917899</v>
      </c>
      <c r="H135" s="167">
        <f t="shared" si="14"/>
        <v>211958.8740548612</v>
      </c>
      <c r="I135" s="312">
        <f t="shared" si="15"/>
        <v>211958.8740548612</v>
      </c>
      <c r="J135" s="162">
        <f t="shared" si="10"/>
        <v>0</v>
      </c>
      <c r="K135" s="162"/>
      <c r="L135" s="330"/>
      <c r="M135" s="162">
        <f t="shared" si="19"/>
        <v>0</v>
      </c>
      <c r="N135" s="330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859070</v>
      </c>
      <c r="E136" s="164">
        <f t="shared" si="11"/>
        <v>117658</v>
      </c>
      <c r="F136" s="163">
        <f t="shared" si="12"/>
        <v>741412</v>
      </c>
      <c r="G136" s="163">
        <f t="shared" si="13"/>
        <v>800241</v>
      </c>
      <c r="H136" s="167">
        <f t="shared" si="14"/>
        <v>199871.21273313969</v>
      </c>
      <c r="I136" s="312">
        <f t="shared" si="15"/>
        <v>199871.21273313969</v>
      </c>
      <c r="J136" s="162">
        <f t="shared" si="10"/>
        <v>0</v>
      </c>
      <c r="K136" s="162"/>
      <c r="L136" s="330"/>
      <c r="M136" s="162">
        <f t="shared" si="19"/>
        <v>0</v>
      </c>
      <c r="N136" s="330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741412</v>
      </c>
      <c r="E137" s="164">
        <f t="shared" si="11"/>
        <v>117658</v>
      </c>
      <c r="F137" s="163">
        <f t="shared" si="12"/>
        <v>623754</v>
      </c>
      <c r="G137" s="163">
        <f t="shared" si="13"/>
        <v>682583</v>
      </c>
      <c r="H137" s="167">
        <f t="shared" si="14"/>
        <v>187783.55141141816</v>
      </c>
      <c r="I137" s="312">
        <f t="shared" si="15"/>
        <v>187783.55141141816</v>
      </c>
      <c r="J137" s="162">
        <f t="shared" si="10"/>
        <v>0</v>
      </c>
      <c r="K137" s="162"/>
      <c r="L137" s="330"/>
      <c r="M137" s="162">
        <f t="shared" si="19"/>
        <v>0</v>
      </c>
      <c r="N137" s="330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623754</v>
      </c>
      <c r="E138" s="164">
        <f t="shared" si="11"/>
        <v>117658</v>
      </c>
      <c r="F138" s="163">
        <f t="shared" si="12"/>
        <v>506096</v>
      </c>
      <c r="G138" s="163">
        <f t="shared" si="13"/>
        <v>564925</v>
      </c>
      <c r="H138" s="167">
        <f t="shared" si="14"/>
        <v>175695.89008969662</v>
      </c>
      <c r="I138" s="312">
        <f t="shared" si="15"/>
        <v>175695.89008969662</v>
      </c>
      <c r="J138" s="162">
        <f t="shared" si="10"/>
        <v>0</v>
      </c>
      <c r="K138" s="162"/>
      <c r="L138" s="330"/>
      <c r="M138" s="162">
        <f t="shared" si="19"/>
        <v>0</v>
      </c>
      <c r="N138" s="330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506096</v>
      </c>
      <c r="E139" s="164">
        <f t="shared" si="11"/>
        <v>117658</v>
      </c>
      <c r="F139" s="163">
        <f t="shared" si="12"/>
        <v>388438</v>
      </c>
      <c r="G139" s="163">
        <f t="shared" si="13"/>
        <v>447267</v>
      </c>
      <c r="H139" s="167">
        <f t="shared" si="14"/>
        <v>163608.22876797512</v>
      </c>
      <c r="I139" s="312">
        <f t="shared" si="15"/>
        <v>163608.22876797512</v>
      </c>
      <c r="J139" s="162">
        <f t="shared" si="10"/>
        <v>0</v>
      </c>
      <c r="K139" s="162"/>
      <c r="L139" s="330"/>
      <c r="M139" s="162">
        <f t="shared" si="19"/>
        <v>0</v>
      </c>
      <c r="N139" s="330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388438</v>
      </c>
      <c r="E140" s="164">
        <f t="shared" si="11"/>
        <v>117658</v>
      </c>
      <c r="F140" s="163">
        <f t="shared" si="12"/>
        <v>270780</v>
      </c>
      <c r="G140" s="163">
        <f t="shared" si="13"/>
        <v>329609</v>
      </c>
      <c r="H140" s="167">
        <f t="shared" si="14"/>
        <v>151520.56744625361</v>
      </c>
      <c r="I140" s="312">
        <f t="shared" si="15"/>
        <v>151520.56744625361</v>
      </c>
      <c r="J140" s="162">
        <f t="shared" si="10"/>
        <v>0</v>
      </c>
      <c r="K140" s="162"/>
      <c r="L140" s="330"/>
      <c r="M140" s="162">
        <f t="shared" si="19"/>
        <v>0</v>
      </c>
      <c r="N140" s="330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270780</v>
      </c>
      <c r="E141" s="164">
        <f t="shared" si="11"/>
        <v>117658</v>
      </c>
      <c r="F141" s="163">
        <f t="shared" si="12"/>
        <v>153122</v>
      </c>
      <c r="G141" s="163">
        <f t="shared" si="13"/>
        <v>211951</v>
      </c>
      <c r="H141" s="167">
        <f t="shared" si="14"/>
        <v>139432.90612453211</v>
      </c>
      <c r="I141" s="312">
        <f t="shared" si="15"/>
        <v>139432.90612453211</v>
      </c>
      <c r="J141" s="162">
        <f t="shared" si="10"/>
        <v>0</v>
      </c>
      <c r="K141" s="162"/>
      <c r="L141" s="330"/>
      <c r="M141" s="162">
        <f t="shared" si="19"/>
        <v>0</v>
      </c>
      <c r="N141" s="330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153122</v>
      </c>
      <c r="E142" s="164">
        <f t="shared" si="11"/>
        <v>117658</v>
      </c>
      <c r="F142" s="163">
        <f t="shared" si="12"/>
        <v>35464</v>
      </c>
      <c r="G142" s="163">
        <f t="shared" si="13"/>
        <v>94293</v>
      </c>
      <c r="H142" s="167">
        <f t="shared" si="14"/>
        <v>127345.24480281057</v>
      </c>
      <c r="I142" s="312">
        <f t="shared" si="15"/>
        <v>127345.24480281057</v>
      </c>
      <c r="J142" s="162">
        <f t="shared" si="10"/>
        <v>0</v>
      </c>
      <c r="K142" s="162"/>
      <c r="L142" s="330"/>
      <c r="M142" s="162">
        <f t="shared" si="19"/>
        <v>0</v>
      </c>
      <c r="N142" s="330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35464</v>
      </c>
      <c r="E143" s="164">
        <f t="shared" si="11"/>
        <v>35464</v>
      </c>
      <c r="F143" s="163">
        <f t="shared" si="12"/>
        <v>0</v>
      </c>
      <c r="G143" s="163">
        <f t="shared" si="13"/>
        <v>17732</v>
      </c>
      <c r="H143" s="167">
        <f t="shared" si="14"/>
        <v>37285.70707097491</v>
      </c>
      <c r="I143" s="312">
        <f t="shared" si="15"/>
        <v>37285.70707097491</v>
      </c>
      <c r="J143" s="162">
        <f t="shared" si="10"/>
        <v>0</v>
      </c>
      <c r="K143" s="162"/>
      <c r="L143" s="330"/>
      <c r="M143" s="162">
        <f t="shared" si="19"/>
        <v>0</v>
      </c>
      <c r="N143" s="330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0</v>
      </c>
      <c r="E144" s="164">
        <f t="shared" si="11"/>
        <v>0</v>
      </c>
      <c r="F144" s="163">
        <f t="shared" si="12"/>
        <v>0</v>
      </c>
      <c r="G144" s="163">
        <f t="shared" si="13"/>
        <v>0</v>
      </c>
      <c r="H144" s="167">
        <f t="shared" si="14"/>
        <v>0</v>
      </c>
      <c r="I144" s="312">
        <f t="shared" si="15"/>
        <v>0</v>
      </c>
      <c r="J144" s="162">
        <f t="shared" si="10"/>
        <v>0</v>
      </c>
      <c r="K144" s="162"/>
      <c r="L144" s="330"/>
      <c r="M144" s="162">
        <f t="shared" si="19"/>
        <v>0</v>
      </c>
      <c r="N144" s="330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0</v>
      </c>
      <c r="E145" s="164">
        <f t="shared" si="11"/>
        <v>0</v>
      </c>
      <c r="F145" s="163">
        <f t="shared" si="12"/>
        <v>0</v>
      </c>
      <c r="G145" s="163">
        <f t="shared" si="13"/>
        <v>0</v>
      </c>
      <c r="H145" s="167">
        <f t="shared" si="14"/>
        <v>0</v>
      </c>
      <c r="I145" s="312">
        <f t="shared" si="15"/>
        <v>0</v>
      </c>
      <c r="J145" s="162">
        <f t="shared" si="10"/>
        <v>0</v>
      </c>
      <c r="K145" s="162"/>
      <c r="L145" s="330"/>
      <c r="M145" s="162">
        <f t="shared" si="19"/>
        <v>0</v>
      </c>
      <c r="N145" s="330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1"/>
        <v>0</v>
      </c>
      <c r="F146" s="163">
        <f t="shared" si="12"/>
        <v>0</v>
      </c>
      <c r="G146" s="163">
        <f t="shared" si="13"/>
        <v>0</v>
      </c>
      <c r="H146" s="167">
        <f t="shared" si="14"/>
        <v>0</v>
      </c>
      <c r="I146" s="312">
        <f t="shared" si="15"/>
        <v>0</v>
      </c>
      <c r="J146" s="162">
        <f t="shared" si="10"/>
        <v>0</v>
      </c>
      <c r="K146" s="162"/>
      <c r="L146" s="330"/>
      <c r="M146" s="162">
        <f t="shared" si="19"/>
        <v>0</v>
      </c>
      <c r="N146" s="330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1"/>
        <v>0</v>
      </c>
      <c r="F147" s="163">
        <f t="shared" si="12"/>
        <v>0</v>
      </c>
      <c r="G147" s="163">
        <f t="shared" si="13"/>
        <v>0</v>
      </c>
      <c r="H147" s="167">
        <f t="shared" si="14"/>
        <v>0</v>
      </c>
      <c r="I147" s="312">
        <f t="shared" si="15"/>
        <v>0</v>
      </c>
      <c r="J147" s="162">
        <f t="shared" si="10"/>
        <v>0</v>
      </c>
      <c r="K147" s="162"/>
      <c r="L147" s="330"/>
      <c r="M147" s="162">
        <f t="shared" si="19"/>
        <v>0</v>
      </c>
      <c r="N147" s="330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1"/>
        <v>0</v>
      </c>
      <c r="F148" s="163">
        <f t="shared" si="12"/>
        <v>0</v>
      </c>
      <c r="G148" s="163">
        <f t="shared" si="13"/>
        <v>0</v>
      </c>
      <c r="H148" s="167">
        <f t="shared" si="14"/>
        <v>0</v>
      </c>
      <c r="I148" s="312">
        <f t="shared" si="15"/>
        <v>0</v>
      </c>
      <c r="J148" s="162">
        <f t="shared" si="10"/>
        <v>0</v>
      </c>
      <c r="K148" s="162"/>
      <c r="L148" s="330"/>
      <c r="M148" s="162">
        <f t="shared" si="19"/>
        <v>0</v>
      </c>
      <c r="N148" s="330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1"/>
        <v>0</v>
      </c>
      <c r="F149" s="163">
        <f t="shared" si="12"/>
        <v>0</v>
      </c>
      <c r="G149" s="163">
        <f t="shared" si="13"/>
        <v>0</v>
      </c>
      <c r="H149" s="167">
        <f t="shared" si="14"/>
        <v>0</v>
      </c>
      <c r="I149" s="312">
        <f t="shared" si="15"/>
        <v>0</v>
      </c>
      <c r="J149" s="162">
        <f t="shared" si="10"/>
        <v>0</v>
      </c>
      <c r="K149" s="162"/>
      <c r="L149" s="330"/>
      <c r="M149" s="162">
        <f t="shared" si="19"/>
        <v>0</v>
      </c>
      <c r="N149" s="330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1"/>
        <v>0</v>
      </c>
      <c r="F150" s="163">
        <f t="shared" si="12"/>
        <v>0</v>
      </c>
      <c r="G150" s="163">
        <f t="shared" si="13"/>
        <v>0</v>
      </c>
      <c r="H150" s="167">
        <f t="shared" si="14"/>
        <v>0</v>
      </c>
      <c r="I150" s="312">
        <f t="shared" si="15"/>
        <v>0</v>
      </c>
      <c r="J150" s="162">
        <f t="shared" si="10"/>
        <v>0</v>
      </c>
      <c r="K150" s="162"/>
      <c r="L150" s="330"/>
      <c r="M150" s="162">
        <f t="shared" si="19"/>
        <v>0</v>
      </c>
      <c r="N150" s="330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1"/>
        <v>0</v>
      </c>
      <c r="F151" s="163">
        <f t="shared" si="12"/>
        <v>0</v>
      </c>
      <c r="G151" s="163">
        <f t="shared" si="13"/>
        <v>0</v>
      </c>
      <c r="H151" s="167">
        <f t="shared" si="14"/>
        <v>0</v>
      </c>
      <c r="I151" s="312">
        <f t="shared" si="15"/>
        <v>0</v>
      </c>
      <c r="J151" s="162">
        <f t="shared" si="10"/>
        <v>0</v>
      </c>
      <c r="K151" s="162"/>
      <c r="L151" s="330"/>
      <c r="M151" s="162">
        <f t="shared" si="19"/>
        <v>0</v>
      </c>
      <c r="N151" s="330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1"/>
        <v>0</v>
      </c>
      <c r="F152" s="163">
        <f t="shared" si="12"/>
        <v>0</v>
      </c>
      <c r="G152" s="163">
        <f t="shared" si="13"/>
        <v>0</v>
      </c>
      <c r="H152" s="167">
        <f t="shared" si="14"/>
        <v>0</v>
      </c>
      <c r="I152" s="312">
        <f t="shared" si="15"/>
        <v>0</v>
      </c>
      <c r="J152" s="162">
        <f t="shared" si="10"/>
        <v>0</v>
      </c>
      <c r="K152" s="162"/>
      <c r="L152" s="330"/>
      <c r="M152" s="162">
        <f t="shared" si="19"/>
        <v>0</v>
      </c>
      <c r="N152" s="330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1"/>
        <v>0</v>
      </c>
      <c r="F153" s="163">
        <f t="shared" si="12"/>
        <v>0</v>
      </c>
      <c r="G153" s="163">
        <f t="shared" si="13"/>
        <v>0</v>
      </c>
      <c r="H153" s="167">
        <f t="shared" si="14"/>
        <v>0</v>
      </c>
      <c r="I153" s="312">
        <f t="shared" si="15"/>
        <v>0</v>
      </c>
      <c r="J153" s="162">
        <f t="shared" si="10"/>
        <v>0</v>
      </c>
      <c r="K153" s="162"/>
      <c r="L153" s="330"/>
      <c r="M153" s="162">
        <f t="shared" si="19"/>
        <v>0</v>
      </c>
      <c r="N153" s="330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1"/>
        <v>0</v>
      </c>
      <c r="F154" s="163">
        <f t="shared" si="12"/>
        <v>0</v>
      </c>
      <c r="G154" s="163">
        <f t="shared" si="13"/>
        <v>0</v>
      </c>
      <c r="H154" s="167">
        <f t="shared" si="14"/>
        <v>0</v>
      </c>
      <c r="I154" s="312">
        <f t="shared" si="15"/>
        <v>0</v>
      </c>
      <c r="J154" s="162">
        <f t="shared" si="10"/>
        <v>0</v>
      </c>
      <c r="K154" s="162"/>
      <c r="L154" s="331"/>
      <c r="M154" s="173">
        <f t="shared" si="19"/>
        <v>0</v>
      </c>
      <c r="N154" s="331"/>
      <c r="O154" s="173">
        <f t="shared" si="20"/>
        <v>0</v>
      </c>
      <c r="P154" s="173">
        <f t="shared" si="21"/>
        <v>0</v>
      </c>
    </row>
    <row r="155" spans="2:16">
      <c r="C155" s="158" t="s">
        <v>77</v>
      </c>
      <c r="D155" s="115"/>
      <c r="E155" s="115">
        <f>SUM(E99:E154)</f>
        <v>5059278</v>
      </c>
      <c r="F155" s="115"/>
      <c r="G155" s="115"/>
      <c r="H155" s="115">
        <f>SUM(H99:H154)</f>
        <v>17154289.334074691</v>
      </c>
      <c r="I155" s="115">
        <f>SUM(I99:I154)</f>
        <v>17154289.334074691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view="pageBreakPreview" zoomScale="80" zoomScaleNormal="100" zoomScaleSheetLayoutView="80" workbookViewId="0">
      <selection activeCell="F52" sqref="F52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16.140625" customWidth="1"/>
    <col min="10" max="10" width="2.1406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3.5703125" bestFit="1" customWidth="1"/>
    <col min="17" max="17" width="4.7109375" customWidth="1"/>
    <col min="18" max="18" width="15.42578125" customWidth="1"/>
    <col min="19" max="19" width="81.85546875" bestFit="1" customWidth="1"/>
    <col min="23" max="23" width="9.140625" customWidth="1"/>
  </cols>
  <sheetData>
    <row r="1" spans="1:18" ht="18">
      <c r="A1" s="485" t="s">
        <v>123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8" ht="18">
      <c r="A2" s="487" t="str">
        <f>L19&amp;" Cost of Service Formula Rate Projected on "&amp;L19-1&amp;" FF1 Balances"</f>
        <v>2018 Cost of Service Formula Rate Projected on 2017 FF1 Balances</v>
      </c>
      <c r="B2" s="487"/>
      <c r="C2" s="487"/>
      <c r="D2" s="487"/>
      <c r="E2" s="487"/>
      <c r="F2" s="487"/>
      <c r="G2" s="487"/>
      <c r="H2" s="487"/>
      <c r="I2" s="487"/>
      <c r="J2" s="487"/>
    </row>
    <row r="3" spans="1:18" ht="18">
      <c r="A3" s="488" t="s">
        <v>140</v>
      </c>
      <c r="B3" s="487"/>
      <c r="C3" s="487"/>
      <c r="D3" s="487"/>
      <c r="E3" s="487"/>
      <c r="F3" s="487"/>
      <c r="G3" s="487"/>
      <c r="H3" s="487"/>
      <c r="I3" s="487"/>
      <c r="J3" s="487"/>
      <c r="Q3" s="240" t="s">
        <v>125</v>
      </c>
    </row>
    <row r="4" spans="1:18" ht="18">
      <c r="A4" s="487" t="str">
        <f>"Based on a Carrying Charge Derived from ""Historic"" "&amp;L19-1&amp;" Data"</f>
        <v>Based on a Carrying Charge Derived from "Historic" 2017 Data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8" ht="18">
      <c r="A5" s="489" t="s">
        <v>124</v>
      </c>
      <c r="B5" s="489"/>
      <c r="C5" s="489"/>
      <c r="D5" s="489"/>
      <c r="E5" s="489"/>
      <c r="F5" s="489"/>
      <c r="G5" s="489"/>
      <c r="H5" s="489"/>
      <c r="I5" s="489"/>
      <c r="J5" s="489"/>
    </row>
    <row r="6" spans="1:18">
      <c r="A6" s="1"/>
      <c r="B6" s="1"/>
      <c r="C6" s="1"/>
      <c r="D6" s="2"/>
      <c r="E6" s="1"/>
      <c r="F6" s="1"/>
      <c r="G6" s="1"/>
      <c r="H6" s="3"/>
      <c r="I6" s="1"/>
      <c r="J6" s="4"/>
    </row>
    <row r="7" spans="1:18">
      <c r="D7" s="9"/>
      <c r="H7" s="10"/>
      <c r="J7" s="7"/>
    </row>
    <row r="8" spans="1:18" ht="38.25" customHeight="1">
      <c r="B8" s="435" t="s">
        <v>0</v>
      </c>
      <c r="C8" s="481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482"/>
      <c r="E8" s="482"/>
      <c r="F8" s="482"/>
      <c r="G8" s="482"/>
      <c r="H8" s="482"/>
      <c r="J8" s="7"/>
      <c r="R8" s="343"/>
    </row>
    <row r="9" spans="1:18">
      <c r="D9" s="9"/>
      <c r="H9" s="10"/>
      <c r="J9" s="7"/>
    </row>
    <row r="10" spans="1:18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H10" s="10"/>
      <c r="J10" s="7"/>
      <c r="K10" s="101"/>
      <c r="L10" s="231"/>
    </row>
    <row r="11" spans="1:18">
      <c r="D11" s="9"/>
      <c r="H11" s="10"/>
      <c r="J11" s="7"/>
    </row>
    <row r="12" spans="1:18">
      <c r="C12" s="11" t="str">
        <f>S105</f>
        <v xml:space="preserve">   ROE w/o incentives  (Projected TCOS, ln 148)</v>
      </c>
      <c r="D12" s="9"/>
      <c r="E12" s="12"/>
      <c r="F12" s="13">
        <v>0.112</v>
      </c>
      <c r="G12" s="14"/>
      <c r="H12" s="15"/>
      <c r="I12" s="16"/>
      <c r="J12" s="17"/>
      <c r="K12" s="16"/>
      <c r="L12" s="16"/>
      <c r="M12" s="16"/>
      <c r="N12" s="16"/>
      <c r="O12" s="12"/>
      <c r="P12" s="16"/>
      <c r="Q12" s="1"/>
    </row>
    <row r="13" spans="1:18">
      <c r="C13" s="11" t="s">
        <v>1</v>
      </c>
      <c r="D13" s="9"/>
      <c r="E13" s="12"/>
      <c r="F13" s="241">
        <f>+R106</f>
        <v>0</v>
      </c>
      <c r="G13" t="s">
        <v>152</v>
      </c>
      <c r="K13" s="16"/>
      <c r="L13" s="16"/>
      <c r="M13" s="16"/>
      <c r="N13" s="16"/>
      <c r="O13" s="12"/>
      <c r="P13" s="16"/>
      <c r="Q13" s="1"/>
    </row>
    <row r="14" spans="1:18" ht="13.5" thickBot="1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0.112</v>
      </c>
      <c r="G14" s="21" t="s">
        <v>2</v>
      </c>
      <c r="H14" s="16"/>
      <c r="I14" s="16"/>
      <c r="J14" s="17"/>
      <c r="K14" s="16"/>
      <c r="L14" s="16"/>
      <c r="M14" s="16"/>
      <c r="N14" s="16"/>
      <c r="O14" s="12"/>
      <c r="P14" s="16"/>
      <c r="Q14" s="1"/>
    </row>
    <row r="15" spans="1:18">
      <c r="C15" s="11" t="s">
        <v>231</v>
      </c>
      <c r="D15" s="9"/>
      <c r="E15" s="12"/>
      <c r="F15" s="20"/>
      <c r="G15" s="12"/>
      <c r="H15" s="16"/>
      <c r="I15" s="16"/>
      <c r="J15" s="17"/>
      <c r="K15" s="475" t="s">
        <v>3</v>
      </c>
      <c r="L15" s="476"/>
      <c r="M15" s="476"/>
      <c r="N15" s="476"/>
      <c r="O15" s="477"/>
      <c r="P15" s="16"/>
      <c r="Q15" s="1"/>
    </row>
    <row r="16" spans="1:18">
      <c r="C16" s="17"/>
      <c r="D16" s="23" t="s">
        <v>4</v>
      </c>
      <c r="E16" s="23" t="s">
        <v>5</v>
      </c>
      <c r="F16" s="24" t="s">
        <v>6</v>
      </c>
      <c r="G16" s="12"/>
      <c r="H16" s="16"/>
      <c r="I16" s="16"/>
      <c r="J16" s="17"/>
      <c r="K16" s="478"/>
      <c r="L16" s="479"/>
      <c r="M16" s="479"/>
      <c r="N16" s="479"/>
      <c r="O16" s="480"/>
      <c r="P16" s="16"/>
      <c r="Q16" s="1"/>
    </row>
    <row r="17" spans="3:17">
      <c r="C17" s="25" t="s">
        <v>7</v>
      </c>
      <c r="D17" s="26">
        <f>+R107</f>
        <v>0.52757845882694709</v>
      </c>
      <c r="E17" s="27">
        <f>+R108</f>
        <v>4.7207513015079E-2</v>
      </c>
      <c r="F17" s="28">
        <f>E17*D17</f>
        <v>2.4905666961548424E-2</v>
      </c>
      <c r="G17" s="12"/>
      <c r="H17" s="16"/>
      <c r="I17" s="29"/>
      <c r="J17" s="30"/>
      <c r="K17" s="31"/>
      <c r="L17" s="32"/>
      <c r="M17" s="17" t="s">
        <v>8</v>
      </c>
      <c r="N17" s="17" t="s">
        <v>9</v>
      </c>
      <c r="O17" s="33" t="s">
        <v>10</v>
      </c>
      <c r="P17" s="16"/>
      <c r="Q17" s="1"/>
    </row>
    <row r="18" spans="3:17">
      <c r="C18" s="25" t="s">
        <v>11</v>
      </c>
      <c r="D18" s="26">
        <f>+R109</f>
        <v>0</v>
      </c>
      <c r="E18" s="27">
        <f>+R110</f>
        <v>0</v>
      </c>
      <c r="F18" s="28">
        <f>E18*D18</f>
        <v>0</v>
      </c>
      <c r="G18" s="35"/>
      <c r="H18" s="35"/>
      <c r="I18" s="36"/>
      <c r="J18" s="37"/>
      <c r="K18" s="38"/>
      <c r="L18" s="7"/>
      <c r="M18" s="7"/>
      <c r="N18" s="7"/>
      <c r="O18" s="39"/>
      <c r="P18" s="35"/>
      <c r="Q18" s="1"/>
    </row>
    <row r="19" spans="3:17" ht="13.5" thickBot="1">
      <c r="C19" s="40" t="s">
        <v>12</v>
      </c>
      <c r="D19" s="26">
        <f>+R111</f>
        <v>0.47242154117305285</v>
      </c>
      <c r="E19" s="27">
        <f>+F14</f>
        <v>0.112</v>
      </c>
      <c r="F19" s="41">
        <f>E19*D19</f>
        <v>5.2911212611381923E-2</v>
      </c>
      <c r="G19" s="35"/>
      <c r="H19" s="35"/>
      <c r="I19" s="20"/>
      <c r="J19" s="37"/>
      <c r="K19" s="42" t="s">
        <v>13</v>
      </c>
      <c r="L19" s="225">
        <f>R104</f>
        <v>2018</v>
      </c>
      <c r="M19" s="44">
        <f>SUM('P.001:P.xyz - blank'!N5)</f>
        <v>7463959.3932195175</v>
      </c>
      <c r="N19" s="44">
        <f>SUM('P.001:P.xyz - blank'!N6)</f>
        <v>7463959.3932195175</v>
      </c>
      <c r="O19" s="45">
        <f>+N19-M19</f>
        <v>0</v>
      </c>
      <c r="P19" s="36"/>
      <c r="Q19" s="1"/>
    </row>
    <row r="20" spans="3:17">
      <c r="C20" s="11"/>
      <c r="D20" s="12"/>
      <c r="E20" s="46" t="s">
        <v>14</v>
      </c>
      <c r="F20" s="28">
        <f>SUM(F17:F19)</f>
        <v>7.7816879572930348E-2</v>
      </c>
      <c r="G20" s="35"/>
      <c r="H20" s="35"/>
      <c r="I20" s="36"/>
      <c r="J20" s="37"/>
      <c r="M20" s="230" t="str">
        <f>IF(M19=SUM('P.001:P.xyz - blank'!N5),"","ERROR")</f>
        <v/>
      </c>
      <c r="N20" s="230" t="str">
        <f>IF(N19=SUM('P.001:P.xyz - blank'!N6),"","ERROR")</f>
        <v/>
      </c>
      <c r="O20" s="230" t="str">
        <f>IF(O19=SUM('P.001:P.xyz - blank'!N7),"","ERROR")</f>
        <v/>
      </c>
      <c r="P20" s="35"/>
      <c r="Q20" s="1"/>
    </row>
    <row r="21" spans="3:17">
      <c r="D21" s="47"/>
      <c r="E21" s="47"/>
      <c r="F21" s="35"/>
      <c r="G21" s="35"/>
      <c r="H21" s="35"/>
      <c r="I21" s="35"/>
      <c r="J21" s="48"/>
      <c r="K21" s="49" t="s">
        <v>15</v>
      </c>
      <c r="P21" s="35"/>
      <c r="Q21" s="1"/>
    </row>
    <row r="22" spans="3:17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35"/>
      <c r="H22" s="12"/>
      <c r="I22" s="35"/>
      <c r="J22" s="48"/>
      <c r="K22" t="s">
        <v>16</v>
      </c>
      <c r="P22" s="35"/>
      <c r="Q22" s="1"/>
    </row>
    <row r="23" spans="3:17">
      <c r="C23" s="17"/>
      <c r="D23" s="47"/>
      <c r="E23" s="47"/>
      <c r="F23" s="48"/>
      <c r="G23" s="48"/>
      <c r="H23" s="48"/>
      <c r="I23" s="48"/>
      <c r="J23" s="48"/>
      <c r="K23" s="36"/>
      <c r="L23" s="34"/>
      <c r="M23" s="51"/>
      <c r="N23" s="36"/>
      <c r="O23" s="35"/>
      <c r="P23" s="48"/>
      <c r="Q23" s="4"/>
    </row>
    <row r="24" spans="3:17">
      <c r="C24" s="11" t="str">
        <f>+S112</f>
        <v xml:space="preserve">   Rate Base  (TCOS, ln 62)</v>
      </c>
      <c r="D24" s="12"/>
      <c r="E24" s="52">
        <f>+R112</f>
        <v>477207425.97582793</v>
      </c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53"/>
      <c r="Q24" s="4"/>
    </row>
    <row r="25" spans="3:17">
      <c r="C25" s="17" t="s">
        <v>17</v>
      </c>
      <c r="D25" s="14"/>
      <c r="E25" s="54">
        <f>F20</f>
        <v>7.7816879572930348E-2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"/>
    </row>
    <row r="26" spans="3:17">
      <c r="C26" s="55" t="s">
        <v>18</v>
      </c>
      <c r="D26" s="55"/>
      <c r="E26" s="36">
        <f>E24*E25</f>
        <v>37134792.798469074</v>
      </c>
      <c r="F26" s="48"/>
      <c r="G26" s="48"/>
      <c r="H26" s="48"/>
      <c r="I26" s="37"/>
      <c r="J26" s="37"/>
      <c r="K26" s="37"/>
      <c r="L26" s="37"/>
      <c r="M26" s="48"/>
      <c r="N26" s="37"/>
      <c r="O26" s="48"/>
      <c r="P26" s="48"/>
      <c r="Q26" s="4"/>
    </row>
    <row r="27" spans="3:17">
      <c r="C27" s="56"/>
      <c r="D27" s="16"/>
      <c r="E27" s="16"/>
      <c r="F27" s="48"/>
      <c r="G27" s="48"/>
      <c r="H27" s="48"/>
      <c r="I27" s="37"/>
      <c r="J27" s="37"/>
      <c r="K27" s="37"/>
      <c r="L27" s="37"/>
      <c r="M27" s="48"/>
      <c r="N27" s="37"/>
      <c r="O27" s="48"/>
      <c r="P27" s="48"/>
      <c r="Q27" s="4"/>
    </row>
    <row r="28" spans="3:17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9"/>
      <c r="J28" s="59"/>
      <c r="K28" s="59"/>
      <c r="L28" s="59"/>
      <c r="M28" s="48"/>
      <c r="N28" s="59"/>
      <c r="O28" s="58"/>
      <c r="P28" s="58"/>
      <c r="Q28" s="4"/>
    </row>
    <row r="29" spans="3:17">
      <c r="C29" s="11"/>
      <c r="D29" s="16"/>
      <c r="E29" s="16"/>
      <c r="F29" s="48"/>
      <c r="G29" s="48"/>
      <c r="H29" s="48"/>
      <c r="I29" s="37"/>
      <c r="J29" s="37"/>
      <c r="K29" s="37"/>
      <c r="L29" s="37"/>
      <c r="M29" s="48"/>
      <c r="N29" s="37"/>
      <c r="O29" s="48"/>
      <c r="P29" s="48"/>
      <c r="Q29" s="4"/>
    </row>
    <row r="30" spans="3:17">
      <c r="C30" s="17" t="s">
        <v>19</v>
      </c>
      <c r="D30" s="46"/>
      <c r="E30" s="60">
        <f>E26</f>
        <v>37134792.798469074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"/>
    </row>
    <row r="31" spans="3:17">
      <c r="C31" s="11" t="str">
        <f>+S113</f>
        <v xml:space="preserve">   Tax Rate  (TCOS, ln 97)</v>
      </c>
      <c r="D31" s="46"/>
      <c r="E31" s="61">
        <f>+R113</f>
        <v>0.38561999999999996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"/>
    </row>
    <row r="32" spans="3:17">
      <c r="C32" s="17" t="s">
        <v>20</v>
      </c>
      <c r="D32" s="2"/>
      <c r="E32" s="20">
        <f>IF(F17&gt;0,($E31/(1-$E31))*(1-$F17/$F20),0)</f>
        <v>0.4267724574504374</v>
      </c>
      <c r="F32" s="1"/>
      <c r="G32" s="20"/>
      <c r="H32" s="3"/>
      <c r="I32" s="1"/>
      <c r="J32" s="4"/>
      <c r="K32" s="1"/>
      <c r="L32" s="1"/>
      <c r="M32" s="1"/>
      <c r="N32" s="1"/>
      <c r="O32" s="1"/>
      <c r="P32" s="1"/>
      <c r="Q32" s="1"/>
    </row>
    <row r="33" spans="2:19">
      <c r="C33" s="55" t="s">
        <v>21</v>
      </c>
      <c r="D33" s="62"/>
      <c r="E33" s="63">
        <f>E30*E32</f>
        <v>15848106.779515453</v>
      </c>
      <c r="F33" s="63"/>
      <c r="G33" s="1"/>
      <c r="H33" s="3"/>
      <c r="I33" s="1"/>
      <c r="J33" s="4"/>
      <c r="K33" s="1"/>
      <c r="L33" s="1"/>
      <c r="M33" s="1"/>
      <c r="N33" s="1"/>
      <c r="O33" s="1"/>
      <c r="P33" s="1"/>
      <c r="Q33" s="1"/>
    </row>
    <row r="34" spans="2:19" ht="15">
      <c r="C34" s="11" t="str">
        <f>+S114</f>
        <v xml:space="preserve">   ITC Adjustment  (TCOS, ln 106)</v>
      </c>
      <c r="D34" s="65"/>
      <c r="E34" s="68">
        <f>+R114</f>
        <v>-456068.24706954265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</row>
    <row r="35" spans="2:19" ht="15">
      <c r="C35" s="11" t="str">
        <f>+S115</f>
        <v xml:space="preserve">   Excess DFIT Adjustment  (TCOS, ln 107)</v>
      </c>
      <c r="D35" s="65"/>
      <c r="E35" s="68">
        <f>+R115</f>
        <v>-156255.08642859466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</row>
    <row r="36" spans="2:19" ht="15">
      <c r="C36" s="11" t="str">
        <f>+S116</f>
        <v xml:space="preserve">   Tax Effect of Permanent and Flow Through Differences  (TCOS, ln 108)</v>
      </c>
      <c r="D36" s="65"/>
      <c r="E36" s="68">
        <f>+R116</f>
        <v>157231.68071877339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</row>
    <row r="37" spans="2:19" ht="15">
      <c r="C37" s="56" t="s">
        <v>22</v>
      </c>
      <c r="D37" s="65"/>
      <c r="E37" s="68">
        <f>E33+E34+E35+E36</f>
        <v>15393015.12673609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1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1"/>
      <c r="S39" s="1"/>
    </row>
    <row r="40" spans="2:19" ht="15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1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1"/>
      <c r="S41" s="1"/>
    </row>
    <row r="42" spans="2:19" ht="15.75">
      <c r="C42" s="8" t="s">
        <v>24</v>
      </c>
      <c r="D42" s="65"/>
      <c r="E42" s="65"/>
      <c r="F42" s="72"/>
      <c r="G42" s="65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1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1"/>
      <c r="S43" s="1"/>
    </row>
    <row r="44" spans="2:19" ht="12.75" customHeight="1">
      <c r="B44" s="1"/>
      <c r="C44" s="11" t="str">
        <f>+S117</f>
        <v xml:space="preserve">   Net Revenue Requirement  (TCOS, ln 115)</v>
      </c>
      <c r="D44" s="74"/>
      <c r="E44" s="74"/>
      <c r="F44" s="68">
        <f>+R117</f>
        <v>103001722.93626815</v>
      </c>
      <c r="G44" s="74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1"/>
      <c r="S44" s="1"/>
    </row>
    <row r="45" spans="2:19">
      <c r="B45" s="1"/>
      <c r="C45" s="11" t="str">
        <f>+S118</f>
        <v xml:space="preserve">   Return  (TCOS, ln 110)</v>
      </c>
      <c r="D45" s="74"/>
      <c r="E45" s="74"/>
      <c r="F45" s="75">
        <f>+R118</f>
        <v>37134792.798469074</v>
      </c>
      <c r="G45" s="76"/>
      <c r="H45" s="76"/>
      <c r="I45" s="76"/>
      <c r="J45" s="76"/>
      <c r="K45" s="76"/>
      <c r="L45" s="76"/>
      <c r="M45" s="76"/>
      <c r="N45" s="76"/>
      <c r="O45" s="76"/>
      <c r="P45" s="68"/>
      <c r="Q45" s="74"/>
      <c r="R45" s="1"/>
      <c r="S45" s="1"/>
    </row>
    <row r="46" spans="2:19">
      <c r="B46" s="1"/>
      <c r="C46" s="11" t="str">
        <f>+S119</f>
        <v xml:space="preserve">   Income Taxes  (TCOS, ln 109)</v>
      </c>
      <c r="D46" s="74"/>
      <c r="E46" s="74"/>
      <c r="F46" s="68">
        <f>+R119</f>
        <v>15393015.12673609</v>
      </c>
      <c r="G46" s="74"/>
      <c r="H46" s="74"/>
      <c r="I46" s="77"/>
      <c r="J46" s="77"/>
      <c r="K46" s="77"/>
      <c r="L46" s="77"/>
      <c r="M46" s="77"/>
      <c r="N46" s="77"/>
      <c r="O46" s="74"/>
      <c r="P46" s="74"/>
      <c r="Q46" s="74"/>
      <c r="R46" s="1"/>
      <c r="S46" s="1"/>
    </row>
    <row r="47" spans="2:19">
      <c r="B47" s="1"/>
      <c r="C47" s="73" t="str">
        <f>+S120</f>
        <v xml:space="preserve">  Gross Margin Taxes  (TCOS, ln 114)</v>
      </c>
      <c r="D47" s="74"/>
      <c r="E47" s="74"/>
      <c r="F47" s="66">
        <f>+R120</f>
        <v>0</v>
      </c>
      <c r="G47" s="74"/>
      <c r="H47" s="74"/>
      <c r="I47" s="77"/>
      <c r="J47" s="77"/>
      <c r="K47" s="77"/>
      <c r="L47" s="77"/>
      <c r="M47" s="77"/>
      <c r="N47" s="77"/>
      <c r="O47" s="74"/>
      <c r="P47" s="74"/>
      <c r="Q47" s="74"/>
      <c r="R47" s="1"/>
      <c r="S47" s="1"/>
    </row>
    <row r="48" spans="2:19">
      <c r="B48" s="1"/>
      <c r="C48" s="22" t="s">
        <v>25</v>
      </c>
      <c r="D48" s="74"/>
      <c r="E48" s="74"/>
      <c r="F48" s="75">
        <f>F44-F45-F46-F47</f>
        <v>50473915.011062987</v>
      </c>
      <c r="G48" s="78"/>
      <c r="H48" s="74"/>
      <c r="I48" s="78"/>
      <c r="J48" s="78"/>
      <c r="K48" s="78"/>
      <c r="L48" s="78"/>
      <c r="M48" s="78"/>
      <c r="N48" s="78"/>
      <c r="O48" s="74"/>
      <c r="P48" s="78"/>
      <c r="Q48" s="74"/>
      <c r="R48" s="1"/>
      <c r="S48" s="1"/>
    </row>
    <row r="49" spans="2:19">
      <c r="B49" s="1"/>
      <c r="C49" s="73"/>
      <c r="D49" s="74"/>
      <c r="E49" s="74"/>
      <c r="F49" s="68"/>
      <c r="G49" s="79"/>
      <c r="H49" s="80"/>
      <c r="I49" s="80"/>
      <c r="J49" s="80"/>
      <c r="K49" s="80"/>
      <c r="L49" s="80"/>
      <c r="M49" s="80"/>
      <c r="N49" s="80"/>
      <c r="O49" s="81"/>
      <c r="P49" s="80"/>
      <c r="Q49" s="82"/>
      <c r="R49" s="1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79"/>
      <c r="H50" s="80"/>
      <c r="I50" s="80"/>
      <c r="J50" s="80"/>
      <c r="K50" s="80"/>
      <c r="L50" s="80"/>
      <c r="M50" s="80"/>
      <c r="N50" s="80"/>
      <c r="O50" s="81"/>
      <c r="P50" s="80"/>
      <c r="Q50" s="74"/>
    </row>
    <row r="51" spans="2:19">
      <c r="B51" s="1"/>
      <c r="C51" s="73"/>
      <c r="D51" s="81"/>
      <c r="E51" s="81"/>
      <c r="F51" s="68"/>
      <c r="G51" s="79"/>
      <c r="H51" s="80"/>
      <c r="I51" s="80"/>
      <c r="J51" s="80"/>
      <c r="K51" s="80"/>
      <c r="L51" s="80"/>
      <c r="M51" s="80"/>
      <c r="N51" s="80"/>
      <c r="O51" s="81"/>
      <c r="P51" s="80"/>
      <c r="Q51" s="74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50473915.011062987</v>
      </c>
      <c r="G52" s="74"/>
      <c r="H52" s="74"/>
      <c r="I52" s="74"/>
      <c r="J52" s="74"/>
      <c r="K52" s="74"/>
      <c r="L52" s="74"/>
      <c r="M52" s="74"/>
      <c r="N52" s="74"/>
      <c r="O52" s="83"/>
      <c r="P52" s="84"/>
      <c r="Q52" s="85"/>
    </row>
    <row r="53" spans="2:19">
      <c r="B53" s="1"/>
      <c r="C53" s="17" t="s">
        <v>103</v>
      </c>
      <c r="D53" s="86"/>
      <c r="E53" s="22"/>
      <c r="F53" s="87">
        <f>E26</f>
        <v>37134792.798469074</v>
      </c>
      <c r="G53" s="22"/>
      <c r="H53" s="88"/>
      <c r="I53" s="22"/>
      <c r="J53" s="22"/>
      <c r="K53" s="22"/>
      <c r="L53" s="22"/>
      <c r="M53" s="22"/>
      <c r="N53" s="22"/>
      <c r="O53" s="22"/>
      <c r="P53" s="22"/>
      <c r="Q53" s="22"/>
    </row>
    <row r="54" spans="2:19" ht="12.75" customHeight="1">
      <c r="B54" s="1"/>
      <c r="C54" s="11" t="s">
        <v>26</v>
      </c>
      <c r="D54" s="74"/>
      <c r="E54" s="74"/>
      <c r="F54" s="89">
        <f>E37</f>
        <v>15393015.12673609</v>
      </c>
      <c r="G54" s="1"/>
      <c r="H54" s="3"/>
      <c r="I54" s="1"/>
      <c r="J54" s="4"/>
      <c r="K54" s="1"/>
      <c r="L54" s="1"/>
      <c r="M54" s="1"/>
      <c r="N54" s="1"/>
      <c r="O54" s="1"/>
      <c r="P54" s="1"/>
      <c r="Q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103001722.93626815</v>
      </c>
      <c r="G55" s="1"/>
      <c r="H55" s="3"/>
      <c r="I55" s="1"/>
      <c r="J55" s="4"/>
      <c r="K55" s="1"/>
      <c r="L55" s="1"/>
      <c r="M55" s="1"/>
      <c r="N55" s="1"/>
      <c r="O55" s="1"/>
      <c r="P55" s="1"/>
      <c r="Q55" s="1"/>
      <c r="R55" s="1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1"/>
      <c r="H56" s="3"/>
      <c r="I56" s="1"/>
      <c r="J56" s="4"/>
      <c r="K56" s="1"/>
      <c r="L56" s="1"/>
      <c r="M56" s="1"/>
      <c r="N56" s="1"/>
      <c r="O56" s="1"/>
      <c r="P56" s="1"/>
      <c r="Q56" s="1"/>
      <c r="R56" s="1"/>
      <c r="S56" s="1"/>
    </row>
    <row r="57" spans="2:19">
      <c r="B57" s="1"/>
      <c r="C57" s="22" t="s">
        <v>27</v>
      </c>
      <c r="D57" s="2"/>
      <c r="E57" s="1"/>
      <c r="F57" s="92">
        <f>+F55+F56</f>
        <v>103001722.93626815</v>
      </c>
      <c r="G57" s="1"/>
      <c r="H57" s="3"/>
      <c r="I57" s="1"/>
      <c r="J57" s="4"/>
      <c r="K57" s="1"/>
      <c r="L57" s="1"/>
      <c r="M57" s="1"/>
      <c r="N57" s="1"/>
      <c r="O57" s="1"/>
      <c r="P57" s="1"/>
      <c r="Q57" s="1"/>
      <c r="R57" s="1"/>
      <c r="S57" s="1"/>
    </row>
    <row r="58" spans="2:19">
      <c r="B58" s="1"/>
      <c r="C58" s="11" t="str">
        <f>+S121</f>
        <v xml:space="preserve">   Less: Depreciation  (TCOS, ln 84)</v>
      </c>
      <c r="D58" s="2"/>
      <c r="E58" s="1"/>
      <c r="F58" s="93">
        <f>+R121</f>
        <v>18203150.730821695</v>
      </c>
      <c r="G58" s="1"/>
      <c r="H58" s="3"/>
      <c r="I58" s="1"/>
      <c r="J58" s="4"/>
      <c r="K58" s="1"/>
      <c r="L58" s="1"/>
      <c r="M58" s="1"/>
      <c r="N58" s="1"/>
      <c r="O58" s="1"/>
      <c r="P58" s="1"/>
      <c r="Q58" s="1"/>
      <c r="R58" s="1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84798572.205446452</v>
      </c>
      <c r="G59" s="1"/>
      <c r="H59" s="3"/>
      <c r="I59" s="1"/>
      <c r="J59" s="4"/>
      <c r="K59" s="1"/>
      <c r="L59" s="1"/>
      <c r="M59" s="1"/>
      <c r="N59" s="1"/>
      <c r="O59" s="1"/>
      <c r="P59" s="1"/>
      <c r="Q59" s="1"/>
      <c r="R59" s="1"/>
      <c r="S59" s="1"/>
    </row>
    <row r="60" spans="2:19">
      <c r="B60" s="1"/>
      <c r="C60" s="1"/>
      <c r="D60" s="2"/>
      <c r="E60" s="1"/>
      <c r="F60" s="1"/>
      <c r="G60" s="1"/>
      <c r="H60" s="3"/>
      <c r="I60" s="1"/>
      <c r="J60" s="4"/>
      <c r="K60" s="1"/>
      <c r="L60" s="1"/>
      <c r="M60" s="1"/>
      <c r="N60" s="1"/>
      <c r="O60" s="1"/>
      <c r="P60" s="1"/>
      <c r="Q60" s="1"/>
      <c r="R60" s="1"/>
      <c r="S60" s="1"/>
    </row>
    <row r="61" spans="2:19" ht="15.75">
      <c r="B61" s="18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18"/>
      <c r="H61" s="97"/>
      <c r="I61" s="18"/>
      <c r="J61" s="4"/>
      <c r="K61" s="1"/>
      <c r="L61" s="1"/>
      <c r="M61" s="1"/>
      <c r="N61" s="1"/>
      <c r="O61" s="1"/>
      <c r="P61" s="1"/>
      <c r="Q61" s="1"/>
      <c r="R61" s="1"/>
      <c r="S61" s="1"/>
    </row>
    <row r="62" spans="2:19">
      <c r="B62" s="18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103001722.93626815</v>
      </c>
      <c r="G62" s="18"/>
      <c r="H62" s="97"/>
      <c r="I62" s="18"/>
      <c r="J62" s="4"/>
      <c r="K62" s="1"/>
      <c r="L62" s="1"/>
      <c r="M62" s="1"/>
      <c r="N62" s="1"/>
      <c r="O62" s="1"/>
      <c r="P62" s="1"/>
      <c r="Q62" s="1"/>
      <c r="R62" s="1"/>
      <c r="S62" s="1"/>
    </row>
    <row r="63" spans="2:19">
      <c r="B63" s="18"/>
      <c r="C63" s="64" t="s">
        <v>28</v>
      </c>
      <c r="D63" s="95"/>
      <c r="E63" s="95"/>
      <c r="F63" s="96"/>
      <c r="G63" s="18"/>
      <c r="H63" s="97"/>
      <c r="I63" s="18"/>
      <c r="J63" s="4"/>
      <c r="K63" s="1"/>
      <c r="L63" s="1"/>
      <c r="M63" s="1"/>
      <c r="N63" s="1"/>
      <c r="O63" s="1"/>
      <c r="P63" s="1"/>
      <c r="Q63" s="1"/>
      <c r="R63" s="1"/>
      <c r="S63" s="1"/>
    </row>
    <row r="64" spans="2:19">
      <c r="B64" s="18"/>
      <c r="C64" s="22" t="str">
        <f>+S122</f>
        <v xml:space="preserve">       Apportionment Factor to Texas (Worksheet K, ln 12)</v>
      </c>
      <c r="D64" s="62"/>
      <c r="E64" s="18"/>
      <c r="F64" s="98">
        <f>+R122</f>
        <v>0</v>
      </c>
      <c r="G64" s="18"/>
      <c r="H64" s="97"/>
      <c r="I64" s="18"/>
      <c r="J64" s="4"/>
      <c r="K64" s="1"/>
      <c r="L64" s="1"/>
      <c r="M64" s="1"/>
      <c r="N64" s="1"/>
      <c r="O64" s="1"/>
      <c r="P64" s="1"/>
      <c r="Q64" s="1"/>
      <c r="R64" s="1"/>
      <c r="S64" s="1"/>
    </row>
    <row r="65" spans="2:19">
      <c r="B65" s="18"/>
      <c r="C65" s="22" t="s">
        <v>29</v>
      </c>
      <c r="D65" s="62"/>
      <c r="E65" s="18"/>
      <c r="F65" s="96">
        <f>+F62*F64</f>
        <v>0</v>
      </c>
      <c r="G65" s="18"/>
      <c r="H65" s="97"/>
      <c r="I65" s="18"/>
      <c r="J65" s="4"/>
      <c r="K65" s="1"/>
      <c r="L65" s="1"/>
      <c r="M65" s="1"/>
      <c r="N65" s="1"/>
      <c r="O65" s="1"/>
      <c r="P65" s="1"/>
      <c r="Q65" s="1"/>
      <c r="R65" s="1"/>
      <c r="S65" s="1"/>
    </row>
    <row r="66" spans="2:19">
      <c r="B66" s="18"/>
      <c r="C66" s="22" t="s">
        <v>288</v>
      </c>
      <c r="D66" s="62"/>
      <c r="E66" s="18"/>
      <c r="F66" s="99">
        <v>0.22</v>
      </c>
      <c r="G66" s="18"/>
      <c r="H66" s="97"/>
      <c r="I66" s="18"/>
      <c r="J66" s="4"/>
      <c r="K66" s="1"/>
      <c r="L66" s="1"/>
      <c r="M66" s="1"/>
      <c r="N66" s="1"/>
      <c r="O66" s="1"/>
      <c r="P66" s="1"/>
      <c r="Q66" s="1"/>
      <c r="R66" s="1"/>
      <c r="S66" s="1"/>
    </row>
    <row r="67" spans="2:19">
      <c r="B67" s="18"/>
      <c r="C67" s="22" t="s">
        <v>30</v>
      </c>
      <c r="D67" s="62"/>
      <c r="E67" s="18"/>
      <c r="F67" s="96">
        <f>+F65*F66</f>
        <v>0</v>
      </c>
      <c r="G67" s="18"/>
      <c r="H67" s="97"/>
      <c r="I67" s="18"/>
      <c r="J67" s="4"/>
      <c r="K67" s="1"/>
      <c r="L67" s="1"/>
      <c r="M67" s="1"/>
      <c r="N67" s="1"/>
      <c r="O67" s="1"/>
      <c r="P67" s="1"/>
      <c r="Q67" s="1"/>
      <c r="R67" s="1"/>
      <c r="S67" s="1"/>
    </row>
    <row r="68" spans="2:19">
      <c r="B68" s="18"/>
      <c r="C68" s="22" t="s">
        <v>31</v>
      </c>
      <c r="D68" s="62"/>
      <c r="E68" s="18"/>
      <c r="F68" s="99">
        <v>0.01</v>
      </c>
      <c r="G68" s="18"/>
      <c r="H68" s="97"/>
      <c r="I68" s="18"/>
      <c r="J68" s="4"/>
      <c r="K68" s="1"/>
      <c r="L68" s="1"/>
      <c r="M68" s="1"/>
      <c r="N68" s="1"/>
      <c r="O68" s="1"/>
      <c r="P68" s="1"/>
      <c r="Q68" s="1"/>
      <c r="R68" s="1"/>
      <c r="S68" s="1"/>
    </row>
    <row r="69" spans="2:19">
      <c r="B69" s="18"/>
      <c r="C69" s="22" t="s">
        <v>32</v>
      </c>
      <c r="D69" s="62"/>
      <c r="E69" s="18"/>
      <c r="F69" s="96">
        <f>+F67*F68</f>
        <v>0</v>
      </c>
      <c r="G69" s="18"/>
      <c r="H69" s="97"/>
      <c r="I69" s="18"/>
      <c r="J69" s="4"/>
      <c r="K69" s="1"/>
      <c r="L69" s="1"/>
      <c r="M69" s="1"/>
      <c r="N69" s="1"/>
      <c r="O69" s="1"/>
      <c r="P69" s="1"/>
      <c r="Q69" s="1"/>
      <c r="R69" s="1"/>
      <c r="S69" s="1"/>
    </row>
    <row r="70" spans="2:19">
      <c r="B70" s="18"/>
      <c r="C70" s="22" t="s">
        <v>33</v>
      </c>
      <c r="D70" s="62"/>
      <c r="E70" s="18"/>
      <c r="F70" s="100">
        <f>+ROUND((F69*F66*F64)/(1-F68)*F68,0)</f>
        <v>0</v>
      </c>
      <c r="G70" s="18"/>
      <c r="H70" s="97"/>
      <c r="I70" s="18"/>
      <c r="J70" s="4"/>
      <c r="K70" s="1"/>
      <c r="L70" s="1"/>
      <c r="M70" s="1"/>
      <c r="N70" s="1"/>
      <c r="O70" s="1"/>
      <c r="P70" s="1"/>
      <c r="Q70" s="1"/>
      <c r="R70" s="1"/>
      <c r="S70" s="1"/>
    </row>
    <row r="71" spans="2:19">
      <c r="B71" s="18"/>
      <c r="C71" s="22" t="s">
        <v>34</v>
      </c>
      <c r="D71" s="62"/>
      <c r="E71" s="18"/>
      <c r="F71" s="96">
        <f>+F69+F70</f>
        <v>0</v>
      </c>
      <c r="G71" s="18"/>
      <c r="H71" s="97"/>
      <c r="I71" s="18"/>
      <c r="J71" s="4"/>
      <c r="K71" s="1"/>
      <c r="L71" s="1"/>
      <c r="M71" s="1"/>
      <c r="N71" s="1"/>
      <c r="O71" s="1"/>
      <c r="P71" s="1"/>
      <c r="Q71" s="1"/>
      <c r="R71" s="1"/>
      <c r="S71" s="1"/>
    </row>
    <row r="72" spans="2:19">
      <c r="B72" s="1"/>
      <c r="C72" s="1"/>
      <c r="D72" s="2"/>
      <c r="E72" s="1"/>
      <c r="F72" s="1"/>
      <c r="G72" s="1"/>
      <c r="H72" s="3"/>
      <c r="I72" s="1"/>
      <c r="J72" s="4"/>
      <c r="K72" s="1"/>
      <c r="L72" s="1"/>
      <c r="M72" s="1"/>
      <c r="N72" s="1"/>
      <c r="O72" s="1"/>
      <c r="P72" s="1"/>
      <c r="Q72" s="1"/>
      <c r="R72" s="1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3"/>
      <c r="I73" s="1"/>
      <c r="J73" s="4"/>
      <c r="K73" s="1"/>
      <c r="L73" s="1"/>
      <c r="M73" s="1"/>
      <c r="N73" s="1"/>
      <c r="O73" s="1"/>
      <c r="P73" s="1"/>
      <c r="Q73" s="1"/>
      <c r="R73" s="1"/>
      <c r="S73" s="1"/>
    </row>
    <row r="74" spans="2:19">
      <c r="B74" s="1"/>
      <c r="C74" s="1"/>
      <c r="D74" s="2"/>
      <c r="E74" s="1"/>
      <c r="F74" s="1"/>
      <c r="G74" s="1"/>
      <c r="H74" s="3"/>
      <c r="I74" s="1"/>
      <c r="J74" s="4"/>
      <c r="K74" s="1"/>
      <c r="L74" s="1"/>
      <c r="M74" s="1"/>
      <c r="N74" s="1"/>
      <c r="O74" s="1"/>
      <c r="P74" s="1"/>
      <c r="Q74" s="1"/>
      <c r="R74" s="1"/>
      <c r="S74" s="1"/>
    </row>
    <row r="75" spans="2:19">
      <c r="B75" s="1"/>
      <c r="C75" s="11" t="str">
        <f>+S123</f>
        <v xml:space="preserve">   Net Transmission Plant  (TCOS, ln 37)</v>
      </c>
      <c r="D75" s="2"/>
      <c r="E75" s="1"/>
      <c r="F75" s="63">
        <f>+R123</f>
        <v>626580819.62697363</v>
      </c>
      <c r="G75" s="101"/>
      <c r="H75" s="10"/>
      <c r="J75" s="7"/>
      <c r="P75" s="1"/>
      <c r="Q75" s="1"/>
      <c r="R75" s="1"/>
      <c r="S75" s="1"/>
    </row>
    <row r="76" spans="2:19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02">
        <f>F55</f>
        <v>103001722.93626815</v>
      </c>
      <c r="H76" s="10"/>
      <c r="J76" s="7"/>
      <c r="P76" s="1"/>
      <c r="Q76" s="1"/>
      <c r="R76" s="1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0.16438697085810705</v>
      </c>
      <c r="H77" s="10"/>
      <c r="J77" s="7"/>
      <c r="P77" s="1"/>
      <c r="Q77" s="1"/>
      <c r="R77" s="1"/>
      <c r="S77" s="1"/>
    </row>
    <row r="78" spans="2:19">
      <c r="B78" s="1"/>
      <c r="D78" s="2"/>
      <c r="E78" s="1"/>
      <c r="F78" s="18"/>
      <c r="H78" s="10"/>
      <c r="J78" s="7"/>
      <c r="P78" s="1"/>
      <c r="Q78" s="1"/>
      <c r="R78" s="1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F59</f>
        <v>84798572.205446452</v>
      </c>
      <c r="G79" s="101"/>
      <c r="H79" s="10"/>
      <c r="J79" s="7"/>
      <c r="P79" s="1"/>
      <c r="Q79" s="1"/>
      <c r="R79" s="1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0.13533541013261485</v>
      </c>
      <c r="G80" s="103"/>
      <c r="H80" s="10"/>
      <c r="J80" s="7"/>
      <c r="P80" s="1"/>
      <c r="Q80" s="1"/>
      <c r="R80" s="1"/>
      <c r="S80" s="1"/>
    </row>
    <row r="81" spans="2:19">
      <c r="B81" s="1"/>
      <c r="C81" s="11" t="str">
        <f>+S124</f>
        <v xml:space="preserve">   FCR less Depreciation  (Projected TCOS, ln 12)</v>
      </c>
      <c r="D81" s="2"/>
      <c r="E81" s="1"/>
      <c r="F81" s="104">
        <f>+R124</f>
        <v>0.13533541013261485</v>
      </c>
      <c r="H81" s="10"/>
      <c r="J81" s="7"/>
      <c r="P81" s="1"/>
      <c r="Q81" s="1"/>
      <c r="R81" s="1"/>
      <c r="S81" s="1"/>
    </row>
    <row r="82" spans="2:19">
      <c r="B82" s="1"/>
      <c r="C82" s="483" t="str">
        <f>"   Incremental FCR with "&amp;F13&amp;" Basis Point ROE increase, less Depreciation"</f>
        <v xml:space="preserve">   Incremental FCR with 0 Basis Point ROE increase, less Depreciation</v>
      </c>
      <c r="D82" s="484"/>
      <c r="E82" s="484"/>
      <c r="F82" s="103">
        <f>F80-F81</f>
        <v>0</v>
      </c>
      <c r="H82" s="10"/>
      <c r="J82" s="7"/>
      <c r="P82" s="1"/>
      <c r="Q82" s="1"/>
      <c r="R82" s="1"/>
      <c r="S82" s="1"/>
    </row>
    <row r="83" spans="2:19">
      <c r="B83" s="1"/>
      <c r="C83" s="484"/>
      <c r="D83" s="484"/>
      <c r="E83" s="484"/>
      <c r="F83" s="103"/>
      <c r="G83" s="1"/>
      <c r="H83" s="3"/>
      <c r="I83" s="1"/>
      <c r="J83" s="4"/>
      <c r="K83" s="1"/>
      <c r="L83" s="1"/>
      <c r="M83" s="1"/>
      <c r="N83" s="1"/>
      <c r="O83" s="1"/>
      <c r="P83" s="1"/>
      <c r="Q83" s="1"/>
      <c r="R83" s="1"/>
      <c r="S83" s="1"/>
    </row>
    <row r="84" spans="2:19" ht="18.75">
      <c r="B84" s="5" t="s">
        <v>35</v>
      </c>
      <c r="C84" s="71" t="s">
        <v>36</v>
      </c>
      <c r="D84" s="2"/>
      <c r="E84" s="1"/>
      <c r="F84" s="103"/>
      <c r="G84" s="1"/>
      <c r="H84" s="3"/>
      <c r="I84" s="1"/>
      <c r="J84" s="4"/>
      <c r="K84" s="1"/>
      <c r="L84" s="1"/>
      <c r="M84" s="1"/>
      <c r="N84" s="1"/>
      <c r="O84" s="1"/>
      <c r="P84" s="1"/>
      <c r="Q84" s="1"/>
      <c r="R84" s="1"/>
      <c r="S84" s="1"/>
    </row>
    <row r="85" spans="2:19" ht="12.75" customHeight="1">
      <c r="B85" s="5"/>
      <c r="C85" s="71"/>
      <c r="D85" s="2"/>
      <c r="E85" s="1"/>
      <c r="F85" s="103"/>
      <c r="G85" s="1"/>
      <c r="H85" s="3"/>
      <c r="I85" s="1"/>
      <c r="J85" s="4"/>
      <c r="K85" s="1"/>
      <c r="L85" s="1"/>
      <c r="M85" s="1"/>
      <c r="N85" s="1"/>
      <c r="O85" s="1"/>
      <c r="P85" s="1"/>
      <c r="Q85" s="1"/>
      <c r="R85" s="1"/>
      <c r="S85" s="1"/>
    </row>
    <row r="86" spans="2:19" ht="12.75" customHeight="1">
      <c r="B86" s="5"/>
      <c r="C86" s="22" t="s">
        <v>37</v>
      </c>
      <c r="D86" s="2"/>
      <c r="F86" s="97">
        <f>+R125</f>
        <v>856859199.33852696</v>
      </c>
      <c r="G86" s="1" t="s">
        <v>283</v>
      </c>
      <c r="H86" s="3"/>
      <c r="I86" s="1"/>
      <c r="J86" s="4"/>
      <c r="K86" s="1"/>
      <c r="L86" s="1"/>
      <c r="M86" s="1"/>
      <c r="N86" s="1"/>
      <c r="O86" s="1"/>
      <c r="P86" s="1"/>
      <c r="Q86" s="1"/>
      <c r="R86" s="1"/>
      <c r="S86" s="1"/>
    </row>
    <row r="87" spans="2:19" ht="12.75" customHeight="1">
      <c r="B87" s="5"/>
      <c r="C87" s="22" t="s">
        <v>38</v>
      </c>
      <c r="D87" s="2"/>
      <c r="F87" s="106">
        <f>R126</f>
        <v>906509262.35414898</v>
      </c>
      <c r="G87" s="1" t="s">
        <v>283</v>
      </c>
      <c r="H87" s="3"/>
      <c r="I87" s="1"/>
      <c r="J87" s="4"/>
      <c r="K87" s="1"/>
      <c r="L87" s="1"/>
      <c r="M87" s="1"/>
      <c r="N87" s="1"/>
      <c r="O87" s="1"/>
      <c r="P87" s="1"/>
      <c r="Q87" s="1"/>
      <c r="R87" s="1"/>
      <c r="S87" s="1"/>
    </row>
    <row r="88" spans="2:19">
      <c r="B88" s="1"/>
      <c r="C88" s="22"/>
      <c r="D88" s="2"/>
      <c r="F88" s="3">
        <f>+F87+F86</f>
        <v>1763368461.6926761</v>
      </c>
      <c r="G88" s="63"/>
      <c r="H88" s="3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</row>
    <row r="89" spans="2:19">
      <c r="B89" s="1"/>
      <c r="C89" s="22" t="str">
        <f>S127</f>
        <v xml:space="preserve">Transmission Plant Average Balance for 2017 </v>
      </c>
      <c r="D89" s="62"/>
      <c r="E89" s="107"/>
      <c r="F89" s="88">
        <f>+F88/2</f>
        <v>881684230.84633803</v>
      </c>
      <c r="G89" s="108"/>
      <c r="H89" s="3"/>
      <c r="I89" s="1"/>
      <c r="J89" s="4"/>
      <c r="K89" s="1"/>
      <c r="L89" s="1"/>
      <c r="M89" s="1"/>
      <c r="N89" s="1"/>
      <c r="O89" s="1"/>
      <c r="P89" s="1"/>
      <c r="Q89" s="1"/>
      <c r="R89" s="1"/>
      <c r="S89" s="1"/>
    </row>
    <row r="90" spans="2:19">
      <c r="B90" s="1"/>
      <c r="C90" s="11" t="str">
        <f>S128</f>
        <v>Annual Depreciation Expense  (Historic TCOS, ln 244)</v>
      </c>
      <c r="D90" s="62"/>
      <c r="E90" s="18"/>
      <c r="F90" s="88">
        <f>R128</f>
        <v>19542222.474165998</v>
      </c>
      <c r="G90" s="1"/>
      <c r="H90" s="3"/>
      <c r="I90" s="1"/>
      <c r="J90" s="4"/>
      <c r="K90" s="1"/>
      <c r="L90" s="1"/>
      <c r="M90" s="1"/>
      <c r="N90" s="1"/>
      <c r="O90" s="1"/>
      <c r="P90" s="1"/>
      <c r="Q90" s="1"/>
      <c r="R90" s="1"/>
      <c r="S90" s="1"/>
    </row>
    <row r="91" spans="2:19">
      <c r="B91" s="1"/>
      <c r="C91" s="22" t="s">
        <v>39</v>
      </c>
      <c r="D91" s="2"/>
      <c r="E91" s="1"/>
      <c r="F91" s="103">
        <f>IF(F89=0,0,F90/F89)</f>
        <v>2.2164650098604136E-2</v>
      </c>
      <c r="G91" s="1"/>
      <c r="H91" s="109"/>
      <c r="I91" s="1"/>
      <c r="J91" s="4"/>
      <c r="K91" s="1"/>
      <c r="L91" s="1"/>
      <c r="M91" s="1"/>
      <c r="N91" s="1"/>
      <c r="O91" s="1"/>
      <c r="P91" s="1"/>
      <c r="Q91" s="1"/>
      <c r="R91" s="1"/>
      <c r="S91" s="1"/>
    </row>
    <row r="92" spans="2:19">
      <c r="B92" s="1"/>
      <c r="C92" s="22" t="s">
        <v>40</v>
      </c>
      <c r="D92" s="2"/>
      <c r="E92" s="1"/>
      <c r="F92" s="110">
        <f>IF(F91=0,0,1/F91)</f>
        <v>45.116886373179291</v>
      </c>
      <c r="H92" s="3"/>
      <c r="I92" s="1"/>
      <c r="J92" s="4"/>
      <c r="K92" s="1"/>
      <c r="L92" s="1"/>
      <c r="M92" s="1"/>
      <c r="N92" s="1"/>
      <c r="O92" s="1"/>
      <c r="P92" s="1"/>
      <c r="Q92" s="1"/>
      <c r="R92" s="1"/>
      <c r="S92" s="1"/>
    </row>
    <row r="93" spans="2:19">
      <c r="B93" s="1"/>
      <c r="C93" s="22" t="s">
        <v>41</v>
      </c>
      <c r="D93" s="2"/>
      <c r="E93" s="1"/>
      <c r="F93" s="111">
        <f>ROUND(F92,0)</f>
        <v>45</v>
      </c>
      <c r="G93" s="1"/>
      <c r="H93" s="3"/>
      <c r="I93" s="1"/>
      <c r="J93" s="4"/>
      <c r="K93" s="1"/>
      <c r="L93" s="1"/>
      <c r="M93" s="1"/>
      <c r="N93" s="1"/>
      <c r="O93" s="1"/>
      <c r="P93" s="1"/>
      <c r="Q93" s="1"/>
      <c r="R93" s="1"/>
      <c r="S93" s="1"/>
    </row>
    <row r="94" spans="2:19">
      <c r="C94" s="178"/>
      <c r="D94" s="158"/>
      <c r="E94" s="158"/>
      <c r="F94" s="158"/>
      <c r="G94" s="115"/>
      <c r="H94" s="115"/>
      <c r="I94" s="175"/>
      <c r="J94" s="175"/>
      <c r="K94" s="175"/>
      <c r="L94" s="175"/>
      <c r="M94" s="175"/>
      <c r="N94" s="175"/>
      <c r="O94" s="4"/>
      <c r="P94" s="4"/>
      <c r="Q94" s="1"/>
      <c r="R94" s="1"/>
      <c r="S94" s="1"/>
    </row>
    <row r="95" spans="2:19">
      <c r="C95" s="178"/>
      <c r="D95" s="158"/>
      <c r="E95" s="158"/>
      <c r="F95" s="158"/>
      <c r="G95" s="115"/>
      <c r="H95" s="115"/>
      <c r="I95" s="175"/>
      <c r="J95" s="175"/>
      <c r="K95" s="175"/>
      <c r="L95" s="175"/>
      <c r="M95" s="175"/>
      <c r="N95" s="175"/>
      <c r="O95" s="4"/>
      <c r="P95" s="4"/>
      <c r="Q95" s="1"/>
      <c r="R95" s="1"/>
      <c r="S95" s="1"/>
    </row>
    <row r="96" spans="2:19">
      <c r="J96" s="7"/>
      <c r="P96" s="1"/>
      <c r="Q96" s="1"/>
      <c r="R96" s="1"/>
      <c r="S96" s="1"/>
    </row>
    <row r="97" spans="3:19">
      <c r="J97" s="7"/>
      <c r="P97" s="1"/>
      <c r="Q97" s="1"/>
      <c r="R97" s="233" t="s">
        <v>126</v>
      </c>
      <c r="S97" t="s">
        <v>127</v>
      </c>
    </row>
    <row r="98" spans="3:19">
      <c r="J98" s="7"/>
      <c r="P98" s="1"/>
      <c r="Q98" s="1"/>
    </row>
    <row r="99" spans="3:19">
      <c r="C99" s="240" t="s">
        <v>122</v>
      </c>
      <c r="J99" s="7"/>
      <c r="L99" s="240" t="s">
        <v>121</v>
      </c>
      <c r="P99" s="1"/>
      <c r="Q99" s="1"/>
    </row>
    <row r="100" spans="3:19">
      <c r="J100" s="7"/>
      <c r="P100" s="1"/>
      <c r="Q100" s="1"/>
      <c r="S100" s="232" t="s">
        <v>119</v>
      </c>
    </row>
    <row r="101" spans="3:19">
      <c r="J101" s="7"/>
      <c r="P101" s="1"/>
      <c r="Q101" s="1"/>
      <c r="R101" s="233" t="s">
        <v>115</v>
      </c>
      <c r="S101" s="236" t="s">
        <v>120</v>
      </c>
    </row>
    <row r="102" spans="3:19" ht="13.5" thickBot="1">
      <c r="J102" s="7"/>
      <c r="P102" s="1"/>
      <c r="Q102" s="1"/>
      <c r="R102" s="235" t="s">
        <v>142</v>
      </c>
    </row>
    <row r="103" spans="3:19">
      <c r="J103" s="7"/>
      <c r="P103" s="1"/>
      <c r="Q103" s="1"/>
      <c r="R103" s="452" t="s">
        <v>289</v>
      </c>
      <c r="S103" s="453" t="s">
        <v>143</v>
      </c>
    </row>
    <row r="104" spans="3:19">
      <c r="J104" s="7"/>
      <c r="P104" s="1"/>
      <c r="Q104" s="1"/>
      <c r="R104" s="464">
        <v>2018</v>
      </c>
      <c r="S104" s="439" t="s">
        <v>13</v>
      </c>
    </row>
    <row r="105" spans="3:19">
      <c r="J105" s="7"/>
      <c r="P105" s="1"/>
      <c r="Q105" s="1"/>
      <c r="R105" s="465">
        <v>0.112</v>
      </c>
      <c r="S105" s="439" t="s">
        <v>313</v>
      </c>
    </row>
    <row r="106" spans="3:19">
      <c r="J106" s="7"/>
      <c r="P106" s="1"/>
      <c r="Q106" s="1"/>
      <c r="R106" s="466">
        <v>0</v>
      </c>
      <c r="S106" s="439" t="s">
        <v>1</v>
      </c>
    </row>
    <row r="107" spans="3:19">
      <c r="J107" s="7"/>
      <c r="P107" s="1"/>
      <c r="Q107" s="1"/>
      <c r="R107" s="467">
        <v>0.52757845882694709</v>
      </c>
      <c r="S107" s="437" t="s">
        <v>109</v>
      </c>
    </row>
    <row r="108" spans="3:19">
      <c r="J108" s="7"/>
      <c r="P108" s="1"/>
      <c r="Q108" s="1"/>
      <c r="R108" s="467">
        <v>4.7207513015079E-2</v>
      </c>
      <c r="S108" s="437" t="s">
        <v>110</v>
      </c>
    </row>
    <row r="109" spans="3:19">
      <c r="J109" s="7"/>
      <c r="P109" s="1"/>
      <c r="Q109" s="1"/>
      <c r="R109" s="467">
        <v>0</v>
      </c>
      <c r="S109" s="437" t="s">
        <v>111</v>
      </c>
    </row>
    <row r="110" spans="3:19">
      <c r="J110" s="7"/>
      <c r="P110" s="1"/>
      <c r="Q110" s="1"/>
      <c r="R110" s="467">
        <v>0</v>
      </c>
      <c r="S110" s="437" t="s">
        <v>112</v>
      </c>
    </row>
    <row r="111" spans="3:19">
      <c r="J111" s="7"/>
      <c r="P111" s="1"/>
      <c r="Q111" s="1"/>
      <c r="R111" s="467">
        <v>0.47242154117305285</v>
      </c>
      <c r="S111" s="438" t="s">
        <v>113</v>
      </c>
    </row>
    <row r="112" spans="3:19">
      <c r="J112" s="7"/>
      <c r="P112" s="1"/>
      <c r="Q112" s="1"/>
      <c r="R112" s="442">
        <v>477207425.97582793</v>
      </c>
      <c r="S112" s="468" t="s">
        <v>334</v>
      </c>
    </row>
    <row r="113" spans="3:19">
      <c r="J113" s="7"/>
      <c r="P113" s="1"/>
      <c r="Q113" s="1"/>
      <c r="R113" s="443">
        <v>0.38561999999999996</v>
      </c>
      <c r="S113" s="469" t="s">
        <v>335</v>
      </c>
    </row>
    <row r="114" spans="3:19">
      <c r="J114" s="7"/>
      <c r="P114" s="1"/>
      <c r="Q114" s="1"/>
      <c r="R114" s="442">
        <v>-456068.24706954265</v>
      </c>
      <c r="S114" s="469" t="s">
        <v>336</v>
      </c>
    </row>
    <row r="115" spans="3:19">
      <c r="J115" s="7"/>
      <c r="P115" s="1"/>
      <c r="Q115" s="1"/>
      <c r="R115" s="442">
        <v>-156255.08642859466</v>
      </c>
      <c r="S115" s="469" t="s">
        <v>337</v>
      </c>
    </row>
    <row r="116" spans="3:19">
      <c r="J116" s="7"/>
      <c r="P116" s="1"/>
      <c r="Q116" s="1"/>
      <c r="R116" s="442">
        <v>157231.68071877339</v>
      </c>
      <c r="S116" s="469" t="s">
        <v>338</v>
      </c>
    </row>
    <row r="117" spans="3:19">
      <c r="C117" s="1"/>
      <c r="D117" s="2"/>
      <c r="E117" s="1"/>
      <c r="F117" s="1"/>
      <c r="G117" s="1"/>
      <c r="H117" s="3"/>
      <c r="I117" s="1"/>
      <c r="J117" s="4"/>
      <c r="K117" s="1"/>
      <c r="L117" s="1"/>
      <c r="M117" s="1"/>
      <c r="N117" s="1"/>
      <c r="O117" s="1"/>
      <c r="P117" s="1"/>
      <c r="Q117" s="1"/>
      <c r="R117" s="442">
        <v>103001722.93626815</v>
      </c>
      <c r="S117" s="469" t="s">
        <v>339</v>
      </c>
    </row>
    <row r="118" spans="3:19">
      <c r="C118" s="1"/>
      <c r="D118" s="2"/>
      <c r="E118" s="1"/>
      <c r="F118" s="1"/>
      <c r="G118" s="1"/>
      <c r="H118" s="3"/>
      <c r="I118" s="1"/>
      <c r="J118" s="4"/>
      <c r="K118" s="1"/>
      <c r="L118" s="1"/>
      <c r="M118" s="1"/>
      <c r="N118" s="1"/>
      <c r="O118" s="1"/>
      <c r="P118" s="1"/>
      <c r="Q118" s="1"/>
      <c r="R118" s="442">
        <v>37134792.798469074</v>
      </c>
      <c r="S118" s="469" t="s">
        <v>340</v>
      </c>
    </row>
    <row r="119" spans="3:19">
      <c r="C119" s="1"/>
      <c r="D119" s="2"/>
      <c r="E119" s="1"/>
      <c r="F119" s="1"/>
      <c r="G119" s="1"/>
      <c r="H119" s="3"/>
      <c r="I119" s="1"/>
      <c r="J119" s="4"/>
      <c r="K119" s="1"/>
      <c r="L119" s="1"/>
      <c r="M119" s="1"/>
      <c r="N119" s="1"/>
      <c r="O119" s="1"/>
      <c r="P119" s="1"/>
      <c r="Q119" s="1"/>
      <c r="R119" s="442">
        <v>15393015.12673609</v>
      </c>
      <c r="S119" s="469" t="s">
        <v>341</v>
      </c>
    </row>
    <row r="120" spans="3:19">
      <c r="C120" s="1"/>
      <c r="D120" s="2"/>
      <c r="E120" s="1"/>
      <c r="F120" s="1"/>
      <c r="G120" s="1"/>
      <c r="H120" s="3"/>
      <c r="I120" s="1"/>
      <c r="J120" s="4"/>
      <c r="K120" s="1"/>
      <c r="L120" s="1"/>
      <c r="M120" s="1"/>
      <c r="N120" s="1"/>
      <c r="O120" s="1"/>
      <c r="P120" s="1"/>
      <c r="Q120" s="1"/>
      <c r="R120" s="442">
        <v>0</v>
      </c>
      <c r="S120" s="469" t="s">
        <v>342</v>
      </c>
    </row>
    <row r="121" spans="3:19">
      <c r="C121" s="1"/>
      <c r="D121" s="2"/>
      <c r="E121" s="1"/>
      <c r="F121" s="1"/>
      <c r="G121" s="1"/>
      <c r="H121" s="3"/>
      <c r="I121" s="1"/>
      <c r="J121" s="4"/>
      <c r="K121" s="1"/>
      <c r="L121" s="1"/>
      <c r="M121" s="1"/>
      <c r="N121" s="1"/>
      <c r="O121" s="1"/>
      <c r="P121" s="1"/>
      <c r="Q121" s="1"/>
      <c r="R121" s="442">
        <v>18203150.730821695</v>
      </c>
      <c r="S121" s="469" t="s">
        <v>343</v>
      </c>
    </row>
    <row r="122" spans="3:19">
      <c r="C122" s="1"/>
      <c r="D122" s="2"/>
      <c r="E122" s="1"/>
      <c r="F122" s="1"/>
      <c r="G122" s="1"/>
      <c r="H122" s="3"/>
      <c r="I122" s="1"/>
      <c r="J122" s="4"/>
      <c r="K122" s="1"/>
      <c r="L122" s="1"/>
      <c r="M122" s="1"/>
      <c r="N122" s="1"/>
      <c r="O122" s="1"/>
      <c r="P122" s="1"/>
      <c r="Q122" s="1"/>
      <c r="R122" s="443">
        <v>0</v>
      </c>
      <c r="S122" s="469" t="s">
        <v>118</v>
      </c>
    </row>
    <row r="123" spans="3:19">
      <c r="C123" s="1"/>
      <c r="D123" s="2"/>
      <c r="E123" s="1"/>
      <c r="F123" s="1"/>
      <c r="G123" s="1"/>
      <c r="H123" s="3"/>
      <c r="I123" s="1"/>
      <c r="J123" s="4"/>
      <c r="K123" s="1"/>
      <c r="L123" s="1"/>
      <c r="M123" s="1"/>
      <c r="N123" s="1"/>
      <c r="O123" s="1"/>
      <c r="P123" s="1"/>
      <c r="Q123" s="1"/>
      <c r="R123" s="442">
        <v>626580819.62697363</v>
      </c>
      <c r="S123" s="469" t="s">
        <v>344</v>
      </c>
    </row>
    <row r="124" spans="3:19">
      <c r="C124" s="1"/>
      <c r="D124" s="2"/>
      <c r="E124" s="1"/>
      <c r="F124" s="1"/>
      <c r="G124" s="1"/>
      <c r="H124" s="3"/>
      <c r="I124" s="1"/>
      <c r="J124" s="4"/>
      <c r="K124" s="1"/>
      <c r="L124" s="1"/>
      <c r="M124" s="1"/>
      <c r="N124" s="1"/>
      <c r="O124" s="1"/>
      <c r="P124" s="1"/>
      <c r="Q124" s="1"/>
      <c r="R124" s="470">
        <v>0.13533541013261485</v>
      </c>
      <c r="S124" s="448" t="s">
        <v>290</v>
      </c>
    </row>
    <row r="125" spans="3:19">
      <c r="C125" s="1"/>
      <c r="D125" s="2"/>
      <c r="E125" s="1"/>
      <c r="F125" s="1"/>
      <c r="G125" s="1"/>
      <c r="H125" s="3"/>
      <c r="I125" s="1"/>
      <c r="J125" s="4"/>
      <c r="K125" s="1"/>
      <c r="L125" s="1"/>
      <c r="M125" s="1"/>
      <c r="N125" s="1"/>
      <c r="O125" s="1"/>
      <c r="P125" s="1"/>
      <c r="Q125" s="1"/>
      <c r="R125" s="471">
        <v>856859199.33852696</v>
      </c>
      <c r="S125" s="437" t="s">
        <v>37</v>
      </c>
    </row>
    <row r="126" spans="3:19">
      <c r="C126" s="1"/>
      <c r="D126" s="2"/>
      <c r="E126" s="1"/>
      <c r="F126" s="1"/>
      <c r="G126" s="1"/>
      <c r="H126" s="3"/>
      <c r="I126" s="1"/>
      <c r="J126" s="4"/>
      <c r="K126" s="1"/>
      <c r="L126" s="1"/>
      <c r="M126" s="1"/>
      <c r="N126" s="1"/>
      <c r="O126" s="1"/>
      <c r="P126" s="1"/>
      <c r="Q126" s="1"/>
      <c r="R126" s="471">
        <v>906509262.35414898</v>
      </c>
      <c r="S126" s="438" t="s">
        <v>38</v>
      </c>
    </row>
    <row r="127" spans="3:19">
      <c r="C127" s="1"/>
      <c r="D127" s="2"/>
      <c r="E127" s="1"/>
      <c r="F127" s="1"/>
      <c r="G127" s="1"/>
      <c r="H127" s="3"/>
      <c r="I127" s="1"/>
      <c r="J127" s="4"/>
      <c r="K127" s="1"/>
      <c r="L127" s="1"/>
      <c r="M127" s="1"/>
      <c r="N127" s="1"/>
      <c r="O127" s="1"/>
      <c r="P127" s="1"/>
      <c r="Q127" s="1"/>
      <c r="R127" s="471">
        <v>881684230.84633803</v>
      </c>
      <c r="S127" s="449" t="s">
        <v>312</v>
      </c>
    </row>
    <row r="128" spans="3:19" ht="13.5" thickBot="1">
      <c r="C128" s="1"/>
      <c r="D128" s="2"/>
      <c r="E128" s="1"/>
      <c r="F128" s="1"/>
      <c r="G128" s="1"/>
      <c r="H128" s="3"/>
      <c r="I128" s="1"/>
      <c r="J128" s="4"/>
      <c r="K128" s="1"/>
      <c r="L128" s="1"/>
      <c r="M128" s="1"/>
      <c r="N128" s="1"/>
      <c r="O128" s="1"/>
      <c r="P128" s="1"/>
      <c r="Q128" s="1"/>
      <c r="R128" s="472">
        <v>19542222.474165998</v>
      </c>
      <c r="S128" s="450" t="s">
        <v>314</v>
      </c>
    </row>
    <row r="129" spans="3:19">
      <c r="C129" s="1"/>
      <c r="D129" s="2"/>
      <c r="E129" s="1"/>
      <c r="F129" s="1"/>
      <c r="G129" s="1"/>
      <c r="H129" s="3"/>
      <c r="I129" s="1"/>
      <c r="J129" s="4"/>
      <c r="K129" s="1"/>
      <c r="L129" s="1"/>
      <c r="M129" s="1"/>
      <c r="N129" s="1"/>
      <c r="O129" s="1"/>
      <c r="P129" s="1"/>
      <c r="Q129" s="1"/>
      <c r="R129" s="1"/>
      <c r="S129" s="1"/>
    </row>
    <row r="130" spans="3:19">
      <c r="C130" s="1"/>
      <c r="D130" s="2"/>
      <c r="E130" s="1"/>
      <c r="F130" s="1"/>
      <c r="G130" s="1"/>
      <c r="H130" s="3"/>
      <c r="I130" s="1"/>
      <c r="J130" s="4"/>
      <c r="K130" s="1"/>
      <c r="L130" s="1"/>
      <c r="M130" s="1"/>
      <c r="N130" s="1"/>
      <c r="O130" s="1"/>
      <c r="P130" s="1"/>
      <c r="Q130" s="1"/>
      <c r="R130" s="233" t="s">
        <v>116</v>
      </c>
      <c r="S130" s="1" t="s">
        <v>130</v>
      </c>
    </row>
    <row r="131" spans="3:19" ht="13.5" thickBot="1">
      <c r="C131" s="22"/>
      <c r="D131" s="86"/>
      <c r="E131" s="22"/>
      <c r="F131" s="22"/>
      <c r="G131" s="22"/>
      <c r="H131" s="88"/>
      <c r="I131" s="1"/>
      <c r="J131" s="4"/>
      <c r="K131" s="1"/>
      <c r="L131" s="1"/>
      <c r="M131" s="1"/>
      <c r="N131" s="1"/>
      <c r="O131" s="1"/>
      <c r="P131" s="1"/>
      <c r="Q131" s="1"/>
      <c r="R131" s="235" t="s">
        <v>114</v>
      </c>
      <c r="S131" s="1"/>
    </row>
    <row r="132" spans="3:19">
      <c r="C132" s="22"/>
      <c r="D132" s="86"/>
      <c r="E132" s="22"/>
      <c r="F132" s="22"/>
      <c r="G132" s="22"/>
      <c r="H132" s="88"/>
      <c r="I132" s="1"/>
      <c r="J132" s="4"/>
      <c r="K132" s="1"/>
      <c r="L132" s="1"/>
      <c r="M132" s="1"/>
      <c r="N132" s="1"/>
      <c r="O132" s="1"/>
      <c r="P132" s="1"/>
      <c r="Q132" s="1"/>
      <c r="R132" s="237">
        <f>+M19</f>
        <v>7463959.3932195175</v>
      </c>
      <c r="S132" s="1" t="str">
        <f>+K19&amp;" "&amp;M17</f>
        <v>PROJECTED YEAR Rev Require</v>
      </c>
    </row>
    <row r="133" spans="3:19">
      <c r="C133" s="22"/>
      <c r="D133" s="86"/>
      <c r="E133" s="22"/>
      <c r="F133" s="22"/>
      <c r="G133" s="22"/>
      <c r="H133" s="88"/>
      <c r="I133" s="1"/>
      <c r="J133" s="4"/>
      <c r="K133" s="1"/>
      <c r="L133" s="1"/>
      <c r="M133" s="1"/>
      <c r="N133" s="1"/>
      <c r="O133" s="1"/>
      <c r="P133" s="1"/>
      <c r="Q133" s="1"/>
      <c r="R133" s="238">
        <f>+N19</f>
        <v>7463959.3932195175</v>
      </c>
      <c r="S133" s="1" t="str">
        <f>K19&amp;" "&amp;N17</f>
        <v>PROJECTED YEAR  W Incentives</v>
      </c>
    </row>
    <row r="134" spans="3:19" ht="13.5" thickBot="1">
      <c r="C134" s="22"/>
      <c r="D134" s="86"/>
      <c r="E134" s="22"/>
      <c r="F134" s="22"/>
      <c r="G134" s="22"/>
      <c r="H134" s="88"/>
      <c r="I134" s="1"/>
      <c r="J134" s="4"/>
      <c r="K134" s="1"/>
      <c r="L134" s="1"/>
      <c r="M134" s="1"/>
      <c r="N134" s="1"/>
      <c r="O134" s="1"/>
      <c r="P134" s="1"/>
      <c r="Q134" s="1"/>
      <c r="R134" s="239">
        <f>+O19</f>
        <v>0</v>
      </c>
      <c r="S134" s="1" t="str">
        <f>K19&amp;" "&amp;O17</f>
        <v>PROJECTED YEAR Incentive Amounts</v>
      </c>
    </row>
    <row r="135" spans="3:19">
      <c r="C135" s="22"/>
      <c r="D135" s="86"/>
      <c r="E135" s="22"/>
      <c r="F135" s="22"/>
      <c r="G135" s="22"/>
      <c r="H135" s="88"/>
      <c r="I135" s="1"/>
      <c r="J135" s="4"/>
      <c r="K135" s="1"/>
      <c r="L135" s="1"/>
      <c r="M135" s="1"/>
      <c r="N135" s="1"/>
      <c r="O135" s="1"/>
      <c r="P135" s="1"/>
      <c r="Q135" s="1"/>
      <c r="R135" s="1"/>
      <c r="S135" s="1"/>
    </row>
    <row r="136" spans="3:19" ht="12.75" customHeight="1">
      <c r="R136" s="1"/>
      <c r="S136" s="1"/>
    </row>
    <row r="137" spans="3:19" ht="12.75" customHeight="1">
      <c r="R137" s="233" t="s">
        <v>128</v>
      </c>
      <c r="S137" s="232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view="pageBreakPreview" zoomScale="80" zoomScaleNormal="100" zoomScaleSheetLayoutView="80" workbookViewId="0">
      <selection activeCell="D20" sqref="D20:H20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17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251897.51111111112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251897.51111111112</v>
      </c>
      <c r="O6" s="1"/>
      <c r="P6" s="1"/>
    </row>
    <row r="7" spans="1:16" ht="13.5" thickBot="1">
      <c r="C7" s="127" t="s">
        <v>46</v>
      </c>
      <c r="D7" s="227" t="s">
        <v>265</v>
      </c>
      <c r="E7" s="385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291</v>
      </c>
      <c r="E9" s="406" t="s">
        <v>292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1692023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2015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12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37600.511111111111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2015</v>
      </c>
      <c r="D17" s="413">
        <v>1500000</v>
      </c>
      <c r="E17" s="418">
        <v>0</v>
      </c>
      <c r="F17" s="413">
        <v>1500000</v>
      </c>
      <c r="G17" s="418">
        <v>206807.48514960654</v>
      </c>
      <c r="H17" s="416">
        <v>206807.48514960654</v>
      </c>
      <c r="I17" s="160">
        <v>0</v>
      </c>
      <c r="J17" s="160"/>
      <c r="K17" s="333">
        <f>G17</f>
        <v>206807.48514960654</v>
      </c>
      <c r="L17" s="417">
        <f>IF(K17&lt;&gt;0,+G17-K17,0)</f>
        <v>0</v>
      </c>
      <c r="M17" s="333">
        <f>H17</f>
        <v>206807.48514960654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2016</v>
      </c>
      <c r="D18" s="413">
        <v>1777912</v>
      </c>
      <c r="E18" s="414">
        <v>34190.615384615383</v>
      </c>
      <c r="F18" s="413">
        <v>1743721.3846153845</v>
      </c>
      <c r="G18" s="414">
        <v>262896.61538461538</v>
      </c>
      <c r="H18" s="416">
        <v>262896.61538461538</v>
      </c>
      <c r="I18" s="160">
        <f>H18-G18</f>
        <v>0</v>
      </c>
      <c r="J18" s="160"/>
      <c r="K18" s="333">
        <f>G18</f>
        <v>262896.61538461538</v>
      </c>
      <c r="L18" s="417">
        <f>IF(K18&lt;&gt;0,+G18-K18,0)</f>
        <v>0</v>
      </c>
      <c r="M18" s="333">
        <f>H18</f>
        <v>262896.61538461538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2017</v>
      </c>
      <c r="D19" s="413">
        <v>1657832.3846153845</v>
      </c>
      <c r="E19" s="414">
        <v>36783.108695652176</v>
      </c>
      <c r="F19" s="413">
        <v>1621049.2759197324</v>
      </c>
      <c r="G19" s="414">
        <v>243079.10869565216</v>
      </c>
      <c r="H19" s="416">
        <v>243079.10869565216</v>
      </c>
      <c r="I19" s="160">
        <f t="shared" ref="I19:I72" si="0">H19-G19</f>
        <v>0</v>
      </c>
      <c r="J19" s="160"/>
      <c r="K19" s="333">
        <f>G19</f>
        <v>243079.10869565216</v>
      </c>
      <c r="L19" s="417">
        <f>IF(K19&lt;&gt;0,+G19-K19,0)</f>
        <v>0</v>
      </c>
      <c r="M19" s="333">
        <f>H19</f>
        <v>243079.10869565216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1">IF(D20=F19,"","IU")</f>
        <v/>
      </c>
      <c r="C20" s="157">
        <f>IF(D11="","-",+C19+1)</f>
        <v>2018</v>
      </c>
      <c r="D20" s="413">
        <v>1621049.2759197324</v>
      </c>
      <c r="E20" s="414">
        <v>37600.511111111111</v>
      </c>
      <c r="F20" s="413">
        <v>1583448.7648086213</v>
      </c>
      <c r="G20" s="414">
        <v>251897.51111111112</v>
      </c>
      <c r="H20" s="416">
        <v>251897.51111111112</v>
      </c>
      <c r="I20" s="160">
        <f t="shared" si="0"/>
        <v>0</v>
      </c>
      <c r="J20" s="160"/>
      <c r="K20" s="333">
        <f>G20</f>
        <v>251897.51111111112</v>
      </c>
      <c r="L20" s="417">
        <f>IF(K20&lt;&gt;0,+G20-K20,0)</f>
        <v>0</v>
      </c>
      <c r="M20" s="333">
        <f>H20</f>
        <v>251897.51111111112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1"/>
        <v/>
      </c>
      <c r="C21" s="157">
        <f>IF(D11="","-",+C20+1)</f>
        <v>2019</v>
      </c>
      <c r="D21" s="163">
        <f>IF(F20+SUM(E$17:E20)=D$10,F20,D$10-SUM(E$17:E20))</f>
        <v>1583448.7648086213</v>
      </c>
      <c r="E21" s="164">
        <f t="shared" ref="E21:E72" si="2">IF(+$I$14&lt;F20,$I$14,D21)</f>
        <v>37600.511111111111</v>
      </c>
      <c r="F21" s="163">
        <f t="shared" ref="F21:F72" si="3">+D21-E21</f>
        <v>1545848.2536975101</v>
      </c>
      <c r="G21" s="165">
        <f t="shared" ref="G21:G72" si="4">ROUND(I$12*F21,0)+E21</f>
        <v>246808.51111111112</v>
      </c>
      <c r="H21" s="147">
        <f t="shared" ref="H21:H72" si="5">ROUND(I$13*F21,0)+E21</f>
        <v>246808.51111111112</v>
      </c>
      <c r="I21" s="160">
        <f t="shared" si="0"/>
        <v>0</v>
      </c>
      <c r="J21" s="160"/>
      <c r="K21" s="330"/>
      <c r="L21" s="162">
        <f t="shared" ref="L21:L72" si="6">IF(K21&lt;&gt;0,+G21-K21,0)</f>
        <v>0</v>
      </c>
      <c r="M21" s="330"/>
      <c r="N21" s="162">
        <f t="shared" ref="N21:N72" si="7">IF(M21&lt;&gt;0,+H21-M21,0)</f>
        <v>0</v>
      </c>
      <c r="O21" s="162">
        <f t="shared" ref="O21:O72" si="8">+N21-L21</f>
        <v>0</v>
      </c>
      <c r="P21" s="4"/>
    </row>
    <row r="22" spans="2:16">
      <c r="B22" s="9" t="str">
        <f t="shared" si="1"/>
        <v/>
      </c>
      <c r="C22" s="157">
        <f>IF(D11="","-",+C21+1)</f>
        <v>2020</v>
      </c>
      <c r="D22" s="163">
        <f>IF(F21+SUM(E$17:E21)=D$10,F21,D$10-SUM(E$17:E21))</f>
        <v>1545848.2536975101</v>
      </c>
      <c r="E22" s="164">
        <f t="shared" si="2"/>
        <v>37600.511111111111</v>
      </c>
      <c r="F22" s="163">
        <f t="shared" si="3"/>
        <v>1508247.742586399</v>
      </c>
      <c r="G22" s="165">
        <f t="shared" si="4"/>
        <v>241719.51111111112</v>
      </c>
      <c r="H22" s="147">
        <f t="shared" si="5"/>
        <v>241719.51111111112</v>
      </c>
      <c r="I22" s="160">
        <f t="shared" si="0"/>
        <v>0</v>
      </c>
      <c r="J22" s="160"/>
      <c r="K22" s="330"/>
      <c r="L22" s="162">
        <f t="shared" si="6"/>
        <v>0</v>
      </c>
      <c r="M22" s="330"/>
      <c r="N22" s="162">
        <f t="shared" si="7"/>
        <v>0</v>
      </c>
      <c r="O22" s="162">
        <f t="shared" si="8"/>
        <v>0</v>
      </c>
      <c r="P22" s="4"/>
    </row>
    <row r="23" spans="2:16">
      <c r="B23" s="9" t="str">
        <f t="shared" si="1"/>
        <v/>
      </c>
      <c r="C23" s="157">
        <f>IF(D11="","-",+C22+1)</f>
        <v>2021</v>
      </c>
      <c r="D23" s="163">
        <f>IF(F22+SUM(E$17:E22)=D$10,F22,D$10-SUM(E$17:E22))</f>
        <v>1508247.742586399</v>
      </c>
      <c r="E23" s="164">
        <f t="shared" si="2"/>
        <v>37600.511111111111</v>
      </c>
      <c r="F23" s="163">
        <f t="shared" si="3"/>
        <v>1470647.2314752878</v>
      </c>
      <c r="G23" s="165">
        <f t="shared" si="4"/>
        <v>236631.51111111112</v>
      </c>
      <c r="H23" s="147">
        <f t="shared" si="5"/>
        <v>236631.51111111112</v>
      </c>
      <c r="I23" s="160">
        <f t="shared" si="0"/>
        <v>0</v>
      </c>
      <c r="J23" s="160"/>
      <c r="K23" s="330"/>
      <c r="L23" s="162">
        <f t="shared" si="6"/>
        <v>0</v>
      </c>
      <c r="M23" s="330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1"/>
        <v/>
      </c>
      <c r="C24" s="157">
        <f>IF(D11="","-",+C23+1)</f>
        <v>2022</v>
      </c>
      <c r="D24" s="163">
        <f>IF(F23+SUM(E$17:E23)=D$10,F23,D$10-SUM(E$17:E23))</f>
        <v>1470647.2314752878</v>
      </c>
      <c r="E24" s="164">
        <f t="shared" si="2"/>
        <v>37600.511111111111</v>
      </c>
      <c r="F24" s="163">
        <f t="shared" si="3"/>
        <v>1433046.7203641767</v>
      </c>
      <c r="G24" s="165">
        <f t="shared" si="4"/>
        <v>231542.51111111112</v>
      </c>
      <c r="H24" s="147">
        <f t="shared" si="5"/>
        <v>231542.51111111112</v>
      </c>
      <c r="I24" s="160">
        <f t="shared" si="0"/>
        <v>0</v>
      </c>
      <c r="J24" s="160"/>
      <c r="K24" s="330"/>
      <c r="L24" s="162">
        <f t="shared" si="6"/>
        <v>0</v>
      </c>
      <c r="M24" s="330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1"/>
        <v/>
      </c>
      <c r="C25" s="157">
        <f>IF(D11="","-",+C24+1)</f>
        <v>2023</v>
      </c>
      <c r="D25" s="163">
        <f>IF(F24+SUM(E$17:E24)=D$10,F24,D$10-SUM(E$17:E24))</f>
        <v>1433046.7203641767</v>
      </c>
      <c r="E25" s="164">
        <f t="shared" si="2"/>
        <v>37600.511111111111</v>
      </c>
      <c r="F25" s="163">
        <f t="shared" si="3"/>
        <v>1395446.2092530655</v>
      </c>
      <c r="G25" s="165">
        <f t="shared" si="4"/>
        <v>226453.51111111112</v>
      </c>
      <c r="H25" s="147">
        <f t="shared" si="5"/>
        <v>226453.51111111112</v>
      </c>
      <c r="I25" s="160">
        <f t="shared" si="0"/>
        <v>0</v>
      </c>
      <c r="J25" s="160"/>
      <c r="K25" s="330"/>
      <c r="L25" s="162">
        <f t="shared" si="6"/>
        <v>0</v>
      </c>
      <c r="M25" s="330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1"/>
        <v/>
      </c>
      <c r="C26" s="157">
        <f>IF(D11="","-",+C25+1)</f>
        <v>2024</v>
      </c>
      <c r="D26" s="163">
        <f>IF(F25+SUM(E$17:E25)=D$10,F25,D$10-SUM(E$17:E25))</f>
        <v>1395446.2092530655</v>
      </c>
      <c r="E26" s="164">
        <f t="shared" si="2"/>
        <v>37600.511111111111</v>
      </c>
      <c r="F26" s="163">
        <f t="shared" si="3"/>
        <v>1357845.6981419544</v>
      </c>
      <c r="G26" s="165">
        <f t="shared" si="4"/>
        <v>221365.51111111112</v>
      </c>
      <c r="H26" s="147">
        <f t="shared" si="5"/>
        <v>221365.51111111112</v>
      </c>
      <c r="I26" s="160">
        <f t="shared" si="0"/>
        <v>0</v>
      </c>
      <c r="J26" s="160"/>
      <c r="K26" s="330"/>
      <c r="L26" s="162">
        <f t="shared" si="6"/>
        <v>0</v>
      </c>
      <c r="M26" s="330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1"/>
        <v/>
      </c>
      <c r="C27" s="157">
        <f>IF(D11="","-",+C26+1)</f>
        <v>2025</v>
      </c>
      <c r="D27" s="163">
        <f>IF(F26+SUM(E$17:E26)=D$10,F26,D$10-SUM(E$17:E26))</f>
        <v>1357845.6981419544</v>
      </c>
      <c r="E27" s="164">
        <f t="shared" si="2"/>
        <v>37600.511111111111</v>
      </c>
      <c r="F27" s="163">
        <f t="shared" si="3"/>
        <v>1320245.1870308432</v>
      </c>
      <c r="G27" s="165">
        <f t="shared" si="4"/>
        <v>216276.51111111112</v>
      </c>
      <c r="H27" s="147">
        <f t="shared" si="5"/>
        <v>216276.51111111112</v>
      </c>
      <c r="I27" s="160">
        <f t="shared" si="0"/>
        <v>0</v>
      </c>
      <c r="J27" s="160"/>
      <c r="K27" s="330"/>
      <c r="L27" s="162">
        <f t="shared" si="6"/>
        <v>0</v>
      </c>
      <c r="M27" s="330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1"/>
        <v/>
      </c>
      <c r="C28" s="157">
        <f>IF(D11="","-",+C27+1)</f>
        <v>2026</v>
      </c>
      <c r="D28" s="163">
        <f>IF(F27+SUM(E$17:E27)=D$10,F27,D$10-SUM(E$17:E27))</f>
        <v>1320245.1870308432</v>
      </c>
      <c r="E28" s="164">
        <f t="shared" si="2"/>
        <v>37600.511111111111</v>
      </c>
      <c r="F28" s="163">
        <f t="shared" si="3"/>
        <v>1282644.6759197321</v>
      </c>
      <c r="G28" s="165">
        <f t="shared" si="4"/>
        <v>211187.51111111112</v>
      </c>
      <c r="H28" s="147">
        <f t="shared" si="5"/>
        <v>211187.51111111112</v>
      </c>
      <c r="I28" s="160">
        <f t="shared" si="0"/>
        <v>0</v>
      </c>
      <c r="J28" s="160"/>
      <c r="K28" s="330"/>
      <c r="L28" s="162">
        <f t="shared" si="6"/>
        <v>0</v>
      </c>
      <c r="M28" s="330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1"/>
        <v/>
      </c>
      <c r="C29" s="157">
        <f>IF(D11="","-",+C28+1)</f>
        <v>2027</v>
      </c>
      <c r="D29" s="163">
        <f>IF(F28+SUM(E$17:E28)=D$10,F28,D$10-SUM(E$17:E28))</f>
        <v>1282644.6759197321</v>
      </c>
      <c r="E29" s="164">
        <f t="shared" si="2"/>
        <v>37600.511111111111</v>
      </c>
      <c r="F29" s="163">
        <f t="shared" si="3"/>
        <v>1245044.1648086209</v>
      </c>
      <c r="G29" s="165">
        <f t="shared" si="4"/>
        <v>206099.51111111112</v>
      </c>
      <c r="H29" s="147">
        <f t="shared" si="5"/>
        <v>206099.51111111112</v>
      </c>
      <c r="I29" s="160">
        <f t="shared" si="0"/>
        <v>0</v>
      </c>
      <c r="J29" s="160"/>
      <c r="K29" s="330"/>
      <c r="L29" s="162">
        <f t="shared" si="6"/>
        <v>0</v>
      </c>
      <c r="M29" s="330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1"/>
        <v/>
      </c>
      <c r="C30" s="157">
        <f>IF(D11="","-",+C29+1)</f>
        <v>2028</v>
      </c>
      <c r="D30" s="163">
        <f>IF(F29+SUM(E$17:E29)=D$10,F29,D$10-SUM(E$17:E29))</f>
        <v>1245044.1648086209</v>
      </c>
      <c r="E30" s="164">
        <f t="shared" si="2"/>
        <v>37600.511111111111</v>
      </c>
      <c r="F30" s="163">
        <f t="shared" si="3"/>
        <v>1207443.6536975098</v>
      </c>
      <c r="G30" s="165">
        <f t="shared" si="4"/>
        <v>201010.51111111112</v>
      </c>
      <c r="H30" s="147">
        <f t="shared" si="5"/>
        <v>201010.51111111112</v>
      </c>
      <c r="I30" s="160">
        <f t="shared" si="0"/>
        <v>0</v>
      </c>
      <c r="J30" s="160"/>
      <c r="K30" s="330"/>
      <c r="L30" s="162">
        <f t="shared" si="6"/>
        <v>0</v>
      </c>
      <c r="M30" s="330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1"/>
        <v/>
      </c>
      <c r="C31" s="157">
        <f>IF(D11="","-",+C30+1)</f>
        <v>2029</v>
      </c>
      <c r="D31" s="163">
        <f>IF(F30+SUM(E$17:E30)=D$10,F30,D$10-SUM(E$17:E30))</f>
        <v>1207443.6536975098</v>
      </c>
      <c r="E31" s="164">
        <f t="shared" si="2"/>
        <v>37600.511111111111</v>
      </c>
      <c r="F31" s="163">
        <f t="shared" si="3"/>
        <v>1169843.1425863986</v>
      </c>
      <c r="G31" s="165">
        <f t="shared" si="4"/>
        <v>195921.51111111112</v>
      </c>
      <c r="H31" s="147">
        <f t="shared" si="5"/>
        <v>195921.51111111112</v>
      </c>
      <c r="I31" s="160">
        <f t="shared" si="0"/>
        <v>0</v>
      </c>
      <c r="J31" s="160"/>
      <c r="K31" s="330"/>
      <c r="L31" s="162">
        <f t="shared" si="6"/>
        <v>0</v>
      </c>
      <c r="M31" s="330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1"/>
        <v/>
      </c>
      <c r="C32" s="157">
        <f>IF(D11="","-",+C31+1)</f>
        <v>2030</v>
      </c>
      <c r="D32" s="163">
        <f>IF(F31+SUM(E$17:E31)=D$10,F31,D$10-SUM(E$17:E31))</f>
        <v>1169843.1425863986</v>
      </c>
      <c r="E32" s="164">
        <f t="shared" si="2"/>
        <v>37600.511111111111</v>
      </c>
      <c r="F32" s="163">
        <f t="shared" si="3"/>
        <v>1132242.6314752875</v>
      </c>
      <c r="G32" s="165">
        <f t="shared" si="4"/>
        <v>190833.51111111112</v>
      </c>
      <c r="H32" s="147">
        <f t="shared" si="5"/>
        <v>190833.51111111112</v>
      </c>
      <c r="I32" s="160">
        <f t="shared" si="0"/>
        <v>0</v>
      </c>
      <c r="J32" s="160"/>
      <c r="K32" s="330"/>
      <c r="L32" s="162">
        <f t="shared" si="6"/>
        <v>0</v>
      </c>
      <c r="M32" s="330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1"/>
        <v/>
      </c>
      <c r="C33" s="157">
        <f>IF(D11="","-",+C32+1)</f>
        <v>2031</v>
      </c>
      <c r="D33" s="163">
        <f>IF(F32+SUM(E$17:E32)=D$10,F32,D$10-SUM(E$17:E32))</f>
        <v>1132242.6314752875</v>
      </c>
      <c r="E33" s="164">
        <f t="shared" si="2"/>
        <v>37600.511111111111</v>
      </c>
      <c r="F33" s="163">
        <f t="shared" si="3"/>
        <v>1094642.1203641763</v>
      </c>
      <c r="G33" s="165">
        <f t="shared" si="4"/>
        <v>185744.51111111112</v>
      </c>
      <c r="H33" s="147">
        <f t="shared" si="5"/>
        <v>185744.51111111112</v>
      </c>
      <c r="I33" s="160">
        <f t="shared" si="0"/>
        <v>0</v>
      </c>
      <c r="J33" s="160"/>
      <c r="K33" s="330"/>
      <c r="L33" s="162">
        <f t="shared" si="6"/>
        <v>0</v>
      </c>
      <c r="M33" s="330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1"/>
        <v/>
      </c>
      <c r="C34" s="157">
        <f>IF(D11="","-",+C33+1)</f>
        <v>2032</v>
      </c>
      <c r="D34" s="163">
        <f>IF(F33+SUM(E$17:E33)=D$10,F33,D$10-SUM(E$17:E33))</f>
        <v>1094642.1203641763</v>
      </c>
      <c r="E34" s="164">
        <f t="shared" si="2"/>
        <v>37600.511111111111</v>
      </c>
      <c r="F34" s="163">
        <f t="shared" si="3"/>
        <v>1057041.6092530652</v>
      </c>
      <c r="G34" s="165">
        <f t="shared" si="4"/>
        <v>180655.51111111112</v>
      </c>
      <c r="H34" s="147">
        <f t="shared" si="5"/>
        <v>180655.51111111112</v>
      </c>
      <c r="I34" s="160">
        <f t="shared" si="0"/>
        <v>0</v>
      </c>
      <c r="J34" s="160"/>
      <c r="K34" s="330"/>
      <c r="L34" s="162">
        <f t="shared" si="6"/>
        <v>0</v>
      </c>
      <c r="M34" s="330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1"/>
        <v/>
      </c>
      <c r="C35" s="157">
        <f>IF(D11="","-",+C34+1)</f>
        <v>2033</v>
      </c>
      <c r="D35" s="163">
        <f>IF(F34+SUM(E$17:E34)=D$10,F34,D$10-SUM(E$17:E34))</f>
        <v>1057041.6092530652</v>
      </c>
      <c r="E35" s="164">
        <f t="shared" si="2"/>
        <v>37600.511111111111</v>
      </c>
      <c r="F35" s="163">
        <f t="shared" si="3"/>
        <v>1019441.098141954</v>
      </c>
      <c r="G35" s="165">
        <f t="shared" si="4"/>
        <v>175566.51111111112</v>
      </c>
      <c r="H35" s="147">
        <f t="shared" si="5"/>
        <v>175566.51111111112</v>
      </c>
      <c r="I35" s="160">
        <f t="shared" si="0"/>
        <v>0</v>
      </c>
      <c r="J35" s="160"/>
      <c r="K35" s="330"/>
      <c r="L35" s="162">
        <f t="shared" si="6"/>
        <v>0</v>
      </c>
      <c r="M35" s="330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1"/>
        <v/>
      </c>
      <c r="C36" s="157">
        <f>IF(D11="","-",+C35+1)</f>
        <v>2034</v>
      </c>
      <c r="D36" s="163">
        <f>IF(F35+SUM(E$17:E35)=D$10,F35,D$10-SUM(E$17:E35))</f>
        <v>1019441.098141954</v>
      </c>
      <c r="E36" s="164">
        <f t="shared" si="2"/>
        <v>37600.511111111111</v>
      </c>
      <c r="F36" s="163">
        <f t="shared" si="3"/>
        <v>981840.5870308429</v>
      </c>
      <c r="G36" s="165">
        <f t="shared" si="4"/>
        <v>170478.51111111112</v>
      </c>
      <c r="H36" s="147">
        <f t="shared" si="5"/>
        <v>170478.51111111112</v>
      </c>
      <c r="I36" s="160">
        <f t="shared" si="0"/>
        <v>0</v>
      </c>
      <c r="J36" s="160"/>
      <c r="K36" s="330"/>
      <c r="L36" s="162">
        <f t="shared" si="6"/>
        <v>0</v>
      </c>
      <c r="M36" s="330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1"/>
        <v/>
      </c>
      <c r="C37" s="157">
        <f>IF(D11="","-",+C36+1)</f>
        <v>2035</v>
      </c>
      <c r="D37" s="163">
        <f>IF(F36+SUM(E$17:E36)=D$10,F36,D$10-SUM(E$17:E36))</f>
        <v>981840.5870308429</v>
      </c>
      <c r="E37" s="164">
        <f t="shared" si="2"/>
        <v>37600.511111111111</v>
      </c>
      <c r="F37" s="163">
        <f t="shared" si="3"/>
        <v>944240.07591973175</v>
      </c>
      <c r="G37" s="165">
        <f t="shared" si="4"/>
        <v>165389.51111111112</v>
      </c>
      <c r="H37" s="147">
        <f t="shared" si="5"/>
        <v>165389.51111111112</v>
      </c>
      <c r="I37" s="160">
        <f t="shared" si="0"/>
        <v>0</v>
      </c>
      <c r="J37" s="160"/>
      <c r="K37" s="330"/>
      <c r="L37" s="162">
        <f t="shared" si="6"/>
        <v>0</v>
      </c>
      <c r="M37" s="330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1"/>
        <v/>
      </c>
      <c r="C38" s="157">
        <f>IF(D11="","-",+C37+1)</f>
        <v>2036</v>
      </c>
      <c r="D38" s="163">
        <f>IF(F37+SUM(E$17:E37)=D$10,F37,D$10-SUM(E$17:E37))</f>
        <v>944240.07591973175</v>
      </c>
      <c r="E38" s="164">
        <f t="shared" si="2"/>
        <v>37600.511111111111</v>
      </c>
      <c r="F38" s="163">
        <f t="shared" si="3"/>
        <v>906639.56480862061</v>
      </c>
      <c r="G38" s="165">
        <f t="shared" si="4"/>
        <v>160300.51111111112</v>
      </c>
      <c r="H38" s="147">
        <f t="shared" si="5"/>
        <v>160300.51111111112</v>
      </c>
      <c r="I38" s="160">
        <f t="shared" si="0"/>
        <v>0</v>
      </c>
      <c r="J38" s="160"/>
      <c r="K38" s="330"/>
      <c r="L38" s="162">
        <f t="shared" si="6"/>
        <v>0</v>
      </c>
      <c r="M38" s="330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1"/>
        <v/>
      </c>
      <c r="C39" s="157">
        <f>IF(D11="","-",+C38+1)</f>
        <v>2037</v>
      </c>
      <c r="D39" s="163">
        <f>IF(F38+SUM(E$17:E38)=D$10,F38,D$10-SUM(E$17:E38))</f>
        <v>906639.56480862061</v>
      </c>
      <c r="E39" s="164">
        <f t="shared" si="2"/>
        <v>37600.511111111111</v>
      </c>
      <c r="F39" s="163">
        <f t="shared" si="3"/>
        <v>869039.05369750946</v>
      </c>
      <c r="G39" s="165">
        <f t="shared" si="4"/>
        <v>155212.51111111112</v>
      </c>
      <c r="H39" s="147">
        <f t="shared" si="5"/>
        <v>155212.51111111112</v>
      </c>
      <c r="I39" s="160">
        <f t="shared" si="0"/>
        <v>0</v>
      </c>
      <c r="J39" s="160"/>
      <c r="K39" s="330"/>
      <c r="L39" s="162">
        <f t="shared" si="6"/>
        <v>0</v>
      </c>
      <c r="M39" s="330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1"/>
        <v/>
      </c>
      <c r="C40" s="157">
        <f>IF(D11="","-",+C39+1)</f>
        <v>2038</v>
      </c>
      <c r="D40" s="163">
        <f>IF(F39+SUM(E$17:E39)=D$10,F39,D$10-SUM(E$17:E39))</f>
        <v>869039.05369750946</v>
      </c>
      <c r="E40" s="164">
        <f t="shared" si="2"/>
        <v>37600.511111111111</v>
      </c>
      <c r="F40" s="163">
        <f t="shared" si="3"/>
        <v>831438.54258639831</v>
      </c>
      <c r="G40" s="165">
        <f t="shared" si="4"/>
        <v>150123.51111111112</v>
      </c>
      <c r="H40" s="147">
        <f t="shared" si="5"/>
        <v>150123.51111111112</v>
      </c>
      <c r="I40" s="160">
        <f t="shared" si="0"/>
        <v>0</v>
      </c>
      <c r="J40" s="160"/>
      <c r="K40" s="330"/>
      <c r="L40" s="162">
        <f t="shared" si="6"/>
        <v>0</v>
      </c>
      <c r="M40" s="330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1"/>
        <v/>
      </c>
      <c r="C41" s="157">
        <f>IF(D11="","-",+C40+1)</f>
        <v>2039</v>
      </c>
      <c r="D41" s="163">
        <f>IF(F40+SUM(E$17:E40)=D$10,F40,D$10-SUM(E$17:E40))</f>
        <v>831438.54258639831</v>
      </c>
      <c r="E41" s="164">
        <f t="shared" si="2"/>
        <v>37600.511111111111</v>
      </c>
      <c r="F41" s="163">
        <f t="shared" si="3"/>
        <v>793838.03147528716</v>
      </c>
      <c r="G41" s="165">
        <f t="shared" si="4"/>
        <v>145034.51111111112</v>
      </c>
      <c r="H41" s="147">
        <f t="shared" si="5"/>
        <v>145034.51111111112</v>
      </c>
      <c r="I41" s="160">
        <f t="shared" si="0"/>
        <v>0</v>
      </c>
      <c r="J41" s="160"/>
      <c r="K41" s="330"/>
      <c r="L41" s="162">
        <f t="shared" si="6"/>
        <v>0</v>
      </c>
      <c r="M41" s="330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1"/>
        <v/>
      </c>
      <c r="C42" s="157">
        <f>IF(D11="","-",+C41+1)</f>
        <v>2040</v>
      </c>
      <c r="D42" s="163">
        <f>IF(F41+SUM(E$17:E41)=D$10,F41,D$10-SUM(E$17:E41))</f>
        <v>793838.03147528716</v>
      </c>
      <c r="E42" s="164">
        <f t="shared" si="2"/>
        <v>37600.511111111111</v>
      </c>
      <c r="F42" s="163">
        <f t="shared" si="3"/>
        <v>756237.52036417602</v>
      </c>
      <c r="G42" s="165">
        <f t="shared" si="4"/>
        <v>139946.51111111112</v>
      </c>
      <c r="H42" s="147">
        <f t="shared" si="5"/>
        <v>139946.51111111112</v>
      </c>
      <c r="I42" s="160">
        <f t="shared" si="0"/>
        <v>0</v>
      </c>
      <c r="J42" s="160"/>
      <c r="K42" s="330"/>
      <c r="L42" s="162">
        <f t="shared" si="6"/>
        <v>0</v>
      </c>
      <c r="M42" s="330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1"/>
        <v/>
      </c>
      <c r="C43" s="157">
        <f>IF(D11="","-",+C42+1)</f>
        <v>2041</v>
      </c>
      <c r="D43" s="163">
        <f>IF(F42+SUM(E$17:E42)=D$10,F42,D$10-SUM(E$17:E42))</f>
        <v>756237.52036417602</v>
      </c>
      <c r="E43" s="164">
        <f t="shared" si="2"/>
        <v>37600.511111111111</v>
      </c>
      <c r="F43" s="163">
        <f t="shared" si="3"/>
        <v>718637.00925306487</v>
      </c>
      <c r="G43" s="165">
        <f t="shared" si="4"/>
        <v>134857.51111111112</v>
      </c>
      <c r="H43" s="147">
        <f t="shared" si="5"/>
        <v>134857.51111111112</v>
      </c>
      <c r="I43" s="160">
        <f t="shared" si="0"/>
        <v>0</v>
      </c>
      <c r="J43" s="160"/>
      <c r="K43" s="330"/>
      <c r="L43" s="162">
        <f t="shared" si="6"/>
        <v>0</v>
      </c>
      <c r="M43" s="330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1"/>
        <v/>
      </c>
      <c r="C44" s="157">
        <f>IF(D11="","-",+C43+1)</f>
        <v>2042</v>
      </c>
      <c r="D44" s="163">
        <f>IF(F43+SUM(E$17:E43)=D$10,F43,D$10-SUM(E$17:E43))</f>
        <v>718637.00925306487</v>
      </c>
      <c r="E44" s="164">
        <f t="shared" si="2"/>
        <v>37600.511111111111</v>
      </c>
      <c r="F44" s="163">
        <f t="shared" si="3"/>
        <v>681036.49814195372</v>
      </c>
      <c r="G44" s="165">
        <f t="shared" si="4"/>
        <v>129768.51111111112</v>
      </c>
      <c r="H44" s="147">
        <f t="shared" si="5"/>
        <v>129768.51111111112</v>
      </c>
      <c r="I44" s="160">
        <f t="shared" si="0"/>
        <v>0</v>
      </c>
      <c r="J44" s="160"/>
      <c r="K44" s="330"/>
      <c r="L44" s="162">
        <f t="shared" si="6"/>
        <v>0</v>
      </c>
      <c r="M44" s="330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1"/>
        <v/>
      </c>
      <c r="C45" s="157">
        <f>IF(D11="","-",+C44+1)</f>
        <v>2043</v>
      </c>
      <c r="D45" s="163">
        <f>IF(F44+SUM(E$17:E44)=D$10,F44,D$10-SUM(E$17:E44))</f>
        <v>681036.49814195372</v>
      </c>
      <c r="E45" s="164">
        <f t="shared" si="2"/>
        <v>37600.511111111111</v>
      </c>
      <c r="F45" s="163">
        <f t="shared" si="3"/>
        <v>643435.98703084257</v>
      </c>
      <c r="G45" s="165">
        <f t="shared" si="4"/>
        <v>124680.51111111112</v>
      </c>
      <c r="H45" s="147">
        <f t="shared" si="5"/>
        <v>124680.51111111112</v>
      </c>
      <c r="I45" s="160">
        <f t="shared" si="0"/>
        <v>0</v>
      </c>
      <c r="J45" s="160"/>
      <c r="K45" s="330"/>
      <c r="L45" s="162">
        <f t="shared" si="6"/>
        <v>0</v>
      </c>
      <c r="M45" s="330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1"/>
        <v/>
      </c>
      <c r="C46" s="157">
        <f>IF(D11="","-",+C45+1)</f>
        <v>2044</v>
      </c>
      <c r="D46" s="163">
        <f>IF(F45+SUM(E$17:E45)=D$10,F45,D$10-SUM(E$17:E45))</f>
        <v>643435.98703084257</v>
      </c>
      <c r="E46" s="164">
        <f t="shared" si="2"/>
        <v>37600.511111111111</v>
      </c>
      <c r="F46" s="163">
        <f t="shared" si="3"/>
        <v>605835.47591973143</v>
      </c>
      <c r="G46" s="165">
        <f t="shared" si="4"/>
        <v>119591.51111111112</v>
      </c>
      <c r="H46" s="147">
        <f t="shared" si="5"/>
        <v>119591.51111111112</v>
      </c>
      <c r="I46" s="160">
        <f t="shared" si="0"/>
        <v>0</v>
      </c>
      <c r="J46" s="160"/>
      <c r="K46" s="330"/>
      <c r="L46" s="162">
        <f t="shared" si="6"/>
        <v>0</v>
      </c>
      <c r="M46" s="330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1"/>
        <v/>
      </c>
      <c r="C47" s="157">
        <f>IF(D11="","-",+C46+1)</f>
        <v>2045</v>
      </c>
      <c r="D47" s="163">
        <f>IF(F46+SUM(E$17:E46)=D$10,F46,D$10-SUM(E$17:E46))</f>
        <v>605835.47591973143</v>
      </c>
      <c r="E47" s="164">
        <f t="shared" si="2"/>
        <v>37600.511111111111</v>
      </c>
      <c r="F47" s="163">
        <f t="shared" si="3"/>
        <v>568234.96480862028</v>
      </c>
      <c r="G47" s="165">
        <f t="shared" si="4"/>
        <v>114502.51111111112</v>
      </c>
      <c r="H47" s="147">
        <f t="shared" si="5"/>
        <v>114502.51111111112</v>
      </c>
      <c r="I47" s="160">
        <f t="shared" si="0"/>
        <v>0</v>
      </c>
      <c r="J47" s="160"/>
      <c r="K47" s="330"/>
      <c r="L47" s="162">
        <f t="shared" si="6"/>
        <v>0</v>
      </c>
      <c r="M47" s="330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1"/>
        <v/>
      </c>
      <c r="C48" s="157">
        <f>IF(D11="","-",+C47+1)</f>
        <v>2046</v>
      </c>
      <c r="D48" s="163">
        <f>IF(F47+SUM(E$17:E47)=D$10,F47,D$10-SUM(E$17:E47))</f>
        <v>568234.96480862028</v>
      </c>
      <c r="E48" s="164">
        <f t="shared" si="2"/>
        <v>37600.511111111111</v>
      </c>
      <c r="F48" s="163">
        <f t="shared" si="3"/>
        <v>530634.45369750913</v>
      </c>
      <c r="G48" s="165">
        <f t="shared" si="4"/>
        <v>109414.51111111112</v>
      </c>
      <c r="H48" s="147">
        <f t="shared" si="5"/>
        <v>109414.51111111112</v>
      </c>
      <c r="I48" s="160">
        <f t="shared" si="0"/>
        <v>0</v>
      </c>
      <c r="J48" s="160"/>
      <c r="K48" s="330"/>
      <c r="L48" s="162">
        <f t="shared" si="6"/>
        <v>0</v>
      </c>
      <c r="M48" s="330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1"/>
        <v/>
      </c>
      <c r="C49" s="157">
        <f>IF(D11="","-",+C48+1)</f>
        <v>2047</v>
      </c>
      <c r="D49" s="163">
        <f>IF(F48+SUM(E$17:E48)=D$10,F48,D$10-SUM(E$17:E48))</f>
        <v>530634.45369750913</v>
      </c>
      <c r="E49" s="164">
        <f t="shared" si="2"/>
        <v>37600.511111111111</v>
      </c>
      <c r="F49" s="163">
        <f t="shared" si="3"/>
        <v>493033.94258639804</v>
      </c>
      <c r="G49" s="165">
        <f t="shared" si="4"/>
        <v>104325.51111111112</v>
      </c>
      <c r="H49" s="147">
        <f t="shared" si="5"/>
        <v>104325.51111111112</v>
      </c>
      <c r="I49" s="160">
        <f t="shared" si="0"/>
        <v>0</v>
      </c>
      <c r="J49" s="160"/>
      <c r="K49" s="330"/>
      <c r="L49" s="162">
        <f t="shared" si="6"/>
        <v>0</v>
      </c>
      <c r="M49" s="330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1"/>
        <v/>
      </c>
      <c r="C50" s="157">
        <f>IF(D11="","-",+C49+1)</f>
        <v>2048</v>
      </c>
      <c r="D50" s="163">
        <f>IF(F49+SUM(E$17:E49)=D$10,F49,D$10-SUM(E$17:E49))</f>
        <v>493033.94258639804</v>
      </c>
      <c r="E50" s="164">
        <f t="shared" si="2"/>
        <v>37600.511111111111</v>
      </c>
      <c r="F50" s="163">
        <f t="shared" si="3"/>
        <v>455433.43147528695</v>
      </c>
      <c r="G50" s="165">
        <f t="shared" si="4"/>
        <v>99236.511111111118</v>
      </c>
      <c r="H50" s="147">
        <f t="shared" si="5"/>
        <v>99236.511111111118</v>
      </c>
      <c r="I50" s="160">
        <f t="shared" si="0"/>
        <v>0</v>
      </c>
      <c r="J50" s="160"/>
      <c r="K50" s="330"/>
      <c r="L50" s="162">
        <f t="shared" si="6"/>
        <v>0</v>
      </c>
      <c r="M50" s="330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1"/>
        <v/>
      </c>
      <c r="C51" s="157">
        <f>IF(D11="","-",+C50+1)</f>
        <v>2049</v>
      </c>
      <c r="D51" s="163">
        <f>IF(F50+SUM(E$17:E50)=D$10,F50,D$10-SUM(E$17:E50))</f>
        <v>455433.43147528695</v>
      </c>
      <c r="E51" s="164">
        <f t="shared" si="2"/>
        <v>37600.511111111111</v>
      </c>
      <c r="F51" s="163">
        <f t="shared" si="3"/>
        <v>417832.92036417586</v>
      </c>
      <c r="G51" s="165">
        <f t="shared" si="4"/>
        <v>94148.511111111118</v>
      </c>
      <c r="H51" s="147">
        <f t="shared" si="5"/>
        <v>94148.511111111118</v>
      </c>
      <c r="I51" s="160">
        <f t="shared" si="0"/>
        <v>0</v>
      </c>
      <c r="J51" s="160"/>
      <c r="K51" s="330"/>
      <c r="L51" s="162">
        <f t="shared" si="6"/>
        <v>0</v>
      </c>
      <c r="M51" s="330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1"/>
        <v/>
      </c>
      <c r="C52" s="157">
        <f>IF(D11="","-",+C51+1)</f>
        <v>2050</v>
      </c>
      <c r="D52" s="163">
        <f>IF(F51+SUM(E$17:E51)=D$10,F51,D$10-SUM(E$17:E51))</f>
        <v>417832.92036417586</v>
      </c>
      <c r="E52" s="164">
        <f t="shared" si="2"/>
        <v>37600.511111111111</v>
      </c>
      <c r="F52" s="163">
        <f t="shared" si="3"/>
        <v>380232.40925306478</v>
      </c>
      <c r="G52" s="165">
        <f t="shared" si="4"/>
        <v>89059.511111111118</v>
      </c>
      <c r="H52" s="147">
        <f t="shared" si="5"/>
        <v>89059.511111111118</v>
      </c>
      <c r="I52" s="160">
        <f t="shared" si="0"/>
        <v>0</v>
      </c>
      <c r="J52" s="160"/>
      <c r="K52" s="330"/>
      <c r="L52" s="162">
        <f t="shared" si="6"/>
        <v>0</v>
      </c>
      <c r="M52" s="330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1"/>
        <v/>
      </c>
      <c r="C53" s="157">
        <f>IF(D11="","-",+C52+1)</f>
        <v>2051</v>
      </c>
      <c r="D53" s="163">
        <f>IF(F52+SUM(E$17:E52)=D$10,F52,D$10-SUM(E$17:E52))</f>
        <v>380232.40925306478</v>
      </c>
      <c r="E53" s="164">
        <f t="shared" si="2"/>
        <v>37600.511111111111</v>
      </c>
      <c r="F53" s="163">
        <f t="shared" si="3"/>
        <v>342631.89814195369</v>
      </c>
      <c r="G53" s="165">
        <f t="shared" si="4"/>
        <v>83970.511111111118</v>
      </c>
      <c r="H53" s="147">
        <f t="shared" si="5"/>
        <v>83970.511111111118</v>
      </c>
      <c r="I53" s="160">
        <f t="shared" si="0"/>
        <v>0</v>
      </c>
      <c r="J53" s="160"/>
      <c r="K53" s="330"/>
      <c r="L53" s="162">
        <f t="shared" si="6"/>
        <v>0</v>
      </c>
      <c r="M53" s="330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1"/>
        <v/>
      </c>
      <c r="C54" s="157">
        <f>IF(D11="","-",+C53+1)</f>
        <v>2052</v>
      </c>
      <c r="D54" s="163">
        <f>IF(F53+SUM(E$17:E53)=D$10,F53,D$10-SUM(E$17:E53))</f>
        <v>342631.89814195369</v>
      </c>
      <c r="E54" s="164">
        <f t="shared" si="2"/>
        <v>37600.511111111111</v>
      </c>
      <c r="F54" s="163">
        <f t="shared" si="3"/>
        <v>305031.3870308426</v>
      </c>
      <c r="G54" s="165">
        <f t="shared" si="4"/>
        <v>78882.511111111118</v>
      </c>
      <c r="H54" s="147">
        <f t="shared" si="5"/>
        <v>78882.511111111118</v>
      </c>
      <c r="I54" s="160">
        <f t="shared" si="0"/>
        <v>0</v>
      </c>
      <c r="J54" s="160"/>
      <c r="K54" s="330"/>
      <c r="L54" s="162">
        <f t="shared" si="6"/>
        <v>0</v>
      </c>
      <c r="M54" s="330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1"/>
        <v/>
      </c>
      <c r="C55" s="157">
        <f>IF(D11="","-",+C54+1)</f>
        <v>2053</v>
      </c>
      <c r="D55" s="163">
        <f>IF(F54+SUM(E$17:E54)=D$10,F54,D$10-SUM(E$17:E54))</f>
        <v>305031.3870308426</v>
      </c>
      <c r="E55" s="164">
        <f t="shared" si="2"/>
        <v>37600.511111111111</v>
      </c>
      <c r="F55" s="163">
        <f t="shared" si="3"/>
        <v>267430.87591973151</v>
      </c>
      <c r="G55" s="165">
        <f t="shared" si="4"/>
        <v>73793.511111111118</v>
      </c>
      <c r="H55" s="147">
        <f t="shared" si="5"/>
        <v>73793.511111111118</v>
      </c>
      <c r="I55" s="160">
        <f t="shared" si="0"/>
        <v>0</v>
      </c>
      <c r="J55" s="160"/>
      <c r="K55" s="330"/>
      <c r="L55" s="162">
        <f t="shared" si="6"/>
        <v>0</v>
      </c>
      <c r="M55" s="330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1"/>
        <v/>
      </c>
      <c r="C56" s="157">
        <f>IF(D11="","-",+C55+1)</f>
        <v>2054</v>
      </c>
      <c r="D56" s="163">
        <f>IF(F55+SUM(E$17:E55)=D$10,F55,D$10-SUM(E$17:E55))</f>
        <v>267430.87591973151</v>
      </c>
      <c r="E56" s="164">
        <f t="shared" si="2"/>
        <v>37600.511111111111</v>
      </c>
      <c r="F56" s="163">
        <f t="shared" si="3"/>
        <v>229830.36480862039</v>
      </c>
      <c r="G56" s="165">
        <f t="shared" si="4"/>
        <v>68704.511111111118</v>
      </c>
      <c r="H56" s="147">
        <f t="shared" si="5"/>
        <v>68704.511111111118</v>
      </c>
      <c r="I56" s="160">
        <f t="shared" si="0"/>
        <v>0</v>
      </c>
      <c r="J56" s="160"/>
      <c r="K56" s="330"/>
      <c r="L56" s="162">
        <f t="shared" si="6"/>
        <v>0</v>
      </c>
      <c r="M56" s="330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1"/>
        <v/>
      </c>
      <c r="C57" s="157">
        <f>IF(D11="","-",+C56+1)</f>
        <v>2055</v>
      </c>
      <c r="D57" s="163">
        <f>IF(F56+SUM(E$17:E56)=D$10,F56,D$10-SUM(E$17:E56))</f>
        <v>229830.36480862039</v>
      </c>
      <c r="E57" s="164">
        <f t="shared" si="2"/>
        <v>37600.511111111111</v>
      </c>
      <c r="F57" s="163">
        <f t="shared" si="3"/>
        <v>192229.85369750927</v>
      </c>
      <c r="G57" s="165">
        <f t="shared" si="4"/>
        <v>63616.511111111111</v>
      </c>
      <c r="H57" s="147">
        <f t="shared" si="5"/>
        <v>63616.511111111111</v>
      </c>
      <c r="I57" s="160">
        <f t="shared" si="0"/>
        <v>0</v>
      </c>
      <c r="J57" s="160"/>
      <c r="K57" s="330"/>
      <c r="L57" s="162">
        <f t="shared" si="6"/>
        <v>0</v>
      </c>
      <c r="M57" s="330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1"/>
        <v/>
      </c>
      <c r="C58" s="157">
        <f>IF(D11="","-",+C57+1)</f>
        <v>2056</v>
      </c>
      <c r="D58" s="163">
        <f>IF(F57+SUM(E$17:E57)=D$10,F57,D$10-SUM(E$17:E57))</f>
        <v>192229.85369750927</v>
      </c>
      <c r="E58" s="164">
        <f t="shared" si="2"/>
        <v>37600.511111111111</v>
      </c>
      <c r="F58" s="163">
        <f t="shared" si="3"/>
        <v>154629.34258639815</v>
      </c>
      <c r="G58" s="165">
        <f t="shared" si="4"/>
        <v>58527.511111111111</v>
      </c>
      <c r="H58" s="147">
        <f t="shared" si="5"/>
        <v>58527.511111111111</v>
      </c>
      <c r="I58" s="160">
        <f t="shared" si="0"/>
        <v>0</v>
      </c>
      <c r="J58" s="160"/>
      <c r="K58" s="330"/>
      <c r="L58" s="162">
        <f t="shared" si="6"/>
        <v>0</v>
      </c>
      <c r="M58" s="330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1"/>
        <v/>
      </c>
      <c r="C59" s="157">
        <f>IF(D11="","-",+C58+1)</f>
        <v>2057</v>
      </c>
      <c r="D59" s="163">
        <f>IF(F58+SUM(E$17:E58)=D$10,F58,D$10-SUM(E$17:E58))</f>
        <v>154629.34258639815</v>
      </c>
      <c r="E59" s="164">
        <f t="shared" si="2"/>
        <v>37600.511111111111</v>
      </c>
      <c r="F59" s="163">
        <f t="shared" si="3"/>
        <v>117028.83147528704</v>
      </c>
      <c r="G59" s="165">
        <f t="shared" si="4"/>
        <v>53438.511111111111</v>
      </c>
      <c r="H59" s="147">
        <f t="shared" si="5"/>
        <v>53438.511111111111</v>
      </c>
      <c r="I59" s="160">
        <f t="shared" si="0"/>
        <v>0</v>
      </c>
      <c r="J59" s="160"/>
      <c r="K59" s="330"/>
      <c r="L59" s="162">
        <f t="shared" si="6"/>
        <v>0</v>
      </c>
      <c r="M59" s="330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1"/>
        <v/>
      </c>
      <c r="C60" s="157">
        <f>IF(D11="","-",+C59+1)</f>
        <v>2058</v>
      </c>
      <c r="D60" s="163">
        <f>IF(F59+SUM(E$17:E59)=D$10,F59,D$10-SUM(E$17:E59))</f>
        <v>117028.83147528704</v>
      </c>
      <c r="E60" s="164">
        <f t="shared" si="2"/>
        <v>37600.511111111111</v>
      </c>
      <c r="F60" s="163">
        <f t="shared" si="3"/>
        <v>79428.320364175917</v>
      </c>
      <c r="G60" s="165">
        <f t="shared" si="4"/>
        <v>48349.511111111111</v>
      </c>
      <c r="H60" s="147">
        <f t="shared" si="5"/>
        <v>48349.511111111111</v>
      </c>
      <c r="I60" s="160">
        <f t="shared" si="0"/>
        <v>0</v>
      </c>
      <c r="J60" s="160"/>
      <c r="K60" s="330"/>
      <c r="L60" s="162">
        <f t="shared" si="6"/>
        <v>0</v>
      </c>
      <c r="M60" s="330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1"/>
        <v/>
      </c>
      <c r="C61" s="157">
        <f>IF(D11="","-",+C60+1)</f>
        <v>2059</v>
      </c>
      <c r="D61" s="163">
        <f>IF(F60+SUM(E$17:E60)=D$10,F60,D$10-SUM(E$17:E60))</f>
        <v>79428.320364175917</v>
      </c>
      <c r="E61" s="164">
        <f t="shared" si="2"/>
        <v>37600.511111111111</v>
      </c>
      <c r="F61" s="163">
        <f t="shared" si="3"/>
        <v>41827.809253064806</v>
      </c>
      <c r="G61" s="165">
        <f t="shared" si="4"/>
        <v>43261.511111111111</v>
      </c>
      <c r="H61" s="147">
        <f t="shared" si="5"/>
        <v>43261.511111111111</v>
      </c>
      <c r="I61" s="160">
        <f t="shared" si="0"/>
        <v>0</v>
      </c>
      <c r="J61" s="160"/>
      <c r="K61" s="330"/>
      <c r="L61" s="162">
        <f t="shared" si="6"/>
        <v>0</v>
      </c>
      <c r="M61" s="330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1"/>
        <v/>
      </c>
      <c r="C62" s="157">
        <f>IF(D11="","-",+C61+1)</f>
        <v>2060</v>
      </c>
      <c r="D62" s="163">
        <f>IF(F61+SUM(E$17:E61)=D$10,F61,D$10-SUM(E$17:E61))</f>
        <v>41827.809253064806</v>
      </c>
      <c r="E62" s="164">
        <f t="shared" si="2"/>
        <v>37600.511111111111</v>
      </c>
      <c r="F62" s="163">
        <f t="shared" si="3"/>
        <v>4227.2981419536954</v>
      </c>
      <c r="G62" s="165">
        <f t="shared" si="4"/>
        <v>38172.511111111111</v>
      </c>
      <c r="H62" s="147">
        <f t="shared" si="5"/>
        <v>38172.511111111111</v>
      </c>
      <c r="I62" s="160">
        <f t="shared" si="0"/>
        <v>0</v>
      </c>
      <c r="J62" s="160"/>
      <c r="K62" s="330"/>
      <c r="L62" s="162">
        <f t="shared" si="6"/>
        <v>0</v>
      </c>
      <c r="M62" s="330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1"/>
        <v/>
      </c>
      <c r="C63" s="157">
        <f>IF(D11="","-",+C62+1)</f>
        <v>2061</v>
      </c>
      <c r="D63" s="163">
        <f>IF(F62+SUM(E$17:E62)=D$10,F62,D$10-SUM(E$17:E62))</f>
        <v>4227.2981419536954</v>
      </c>
      <c r="E63" s="164">
        <f t="shared" si="2"/>
        <v>4227.2981419536954</v>
      </c>
      <c r="F63" s="163">
        <f t="shared" si="3"/>
        <v>0</v>
      </c>
      <c r="G63" s="165">
        <f t="shared" si="4"/>
        <v>4227.2981419536954</v>
      </c>
      <c r="H63" s="147">
        <f t="shared" si="5"/>
        <v>4227.2981419536954</v>
      </c>
      <c r="I63" s="160">
        <f t="shared" si="0"/>
        <v>0</v>
      </c>
      <c r="J63" s="160"/>
      <c r="K63" s="330"/>
      <c r="L63" s="162">
        <f t="shared" si="6"/>
        <v>0</v>
      </c>
      <c r="M63" s="330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1"/>
        <v/>
      </c>
      <c r="C64" s="157">
        <f>IF(D11="","-",+C63+1)</f>
        <v>2062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0"/>
        <v>0</v>
      </c>
      <c r="J64" s="160"/>
      <c r="K64" s="330"/>
      <c r="L64" s="162">
        <f t="shared" si="6"/>
        <v>0</v>
      </c>
      <c r="M64" s="330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1"/>
        <v/>
      </c>
      <c r="C65" s="157">
        <f>IF(D11="","-",+C64+1)</f>
        <v>2063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0"/>
        <v>0</v>
      </c>
      <c r="J65" s="160"/>
      <c r="K65" s="330"/>
      <c r="L65" s="162">
        <f t="shared" si="6"/>
        <v>0</v>
      </c>
      <c r="M65" s="330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1"/>
        <v/>
      </c>
      <c r="C66" s="157">
        <f>IF(D11="","-",+C65+1)</f>
        <v>2064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0"/>
        <v>0</v>
      </c>
      <c r="J66" s="160"/>
      <c r="K66" s="330"/>
      <c r="L66" s="162">
        <f t="shared" si="6"/>
        <v>0</v>
      </c>
      <c r="M66" s="330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1"/>
        <v/>
      </c>
      <c r="C67" s="157">
        <f>IF(D11="","-",+C66+1)</f>
        <v>2065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0"/>
        <v>0</v>
      </c>
      <c r="J67" s="160"/>
      <c r="K67" s="330"/>
      <c r="L67" s="162">
        <f t="shared" si="6"/>
        <v>0</v>
      </c>
      <c r="M67" s="330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1"/>
        <v/>
      </c>
      <c r="C68" s="157">
        <f>IF(D11="","-",+C67+1)</f>
        <v>2066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0"/>
        <v>0</v>
      </c>
      <c r="J68" s="160"/>
      <c r="K68" s="330"/>
      <c r="L68" s="162">
        <f t="shared" si="6"/>
        <v>0</v>
      </c>
      <c r="M68" s="330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1"/>
        <v/>
      </c>
      <c r="C69" s="157">
        <f>IF(D11="","-",+C68+1)</f>
        <v>2067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0"/>
        <v>0</v>
      </c>
      <c r="J69" s="160"/>
      <c r="K69" s="330"/>
      <c r="L69" s="162">
        <f t="shared" si="6"/>
        <v>0</v>
      </c>
      <c r="M69" s="330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1"/>
        <v/>
      </c>
      <c r="C70" s="157">
        <f>IF(D11="","-",+C69+1)</f>
        <v>2068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0"/>
        <v>0</v>
      </c>
      <c r="J70" s="160"/>
      <c r="K70" s="330"/>
      <c r="L70" s="162">
        <f t="shared" si="6"/>
        <v>0</v>
      </c>
      <c r="M70" s="330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1"/>
        <v/>
      </c>
      <c r="C71" s="157">
        <f>IF(D11="","-",+C70+1)</f>
        <v>2069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0"/>
        <v>0</v>
      </c>
      <c r="J71" s="160"/>
      <c r="K71" s="330"/>
      <c r="L71" s="162">
        <f t="shared" si="6"/>
        <v>0</v>
      </c>
      <c r="M71" s="330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1"/>
        <v/>
      </c>
      <c r="C72" s="168">
        <f>IF(D11="","-",+C71+1)</f>
        <v>2070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372">
        <f t="shared" si="4"/>
        <v>0</v>
      </c>
      <c r="H72" s="130">
        <f t="shared" si="5"/>
        <v>0</v>
      </c>
      <c r="I72" s="172">
        <f t="shared" si="0"/>
        <v>0</v>
      </c>
      <c r="J72" s="160"/>
      <c r="K72" s="331"/>
      <c r="L72" s="173">
        <f t="shared" si="6"/>
        <v>0</v>
      </c>
      <c r="M72" s="331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77</v>
      </c>
      <c r="D73" s="115"/>
      <c r="E73" s="115">
        <f>SUM(E17:E72)</f>
        <v>1692023</v>
      </c>
      <c r="F73" s="115"/>
      <c r="G73" s="115">
        <f>SUM(G17:G72)</f>
        <v>6953512.4851496108</v>
      </c>
      <c r="H73" s="115">
        <f>SUM(H17:H72)</f>
        <v>6953512.4851496108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17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251897.51111111112</v>
      </c>
      <c r="N87" s="202">
        <f>IF(J92&lt;D11,0,VLOOKUP(J92,C17:O72,11))</f>
        <v>251897.51111111112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203600.82637045698</v>
      </c>
      <c r="N88" s="204">
        <f>IF(J92&lt;D11,0,VLOOKUP(J92,C99:P154,7))</f>
        <v>203600.82637045698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Grady Customer Connection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-48296.684740654135</v>
      </c>
      <c r="N89" s="207">
        <f>+N88-N87</f>
        <v>-48296.684740654135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TP2013002</v>
      </c>
      <c r="E91" s="210" t="str">
        <f>E9</f>
        <v xml:space="preserve">  SPP Project ID = 30748</v>
      </c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428">
        <v>1692023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2015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12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39349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2015</v>
      </c>
      <c r="D99" s="413">
        <v>0</v>
      </c>
      <c r="E99" s="418">
        <v>0</v>
      </c>
      <c r="F99" s="413">
        <v>1625288</v>
      </c>
      <c r="G99" s="418">
        <v>812644</v>
      </c>
      <c r="H99" s="416">
        <v>110878.7398202499</v>
      </c>
      <c r="I99" s="427">
        <v>110878.7398202499</v>
      </c>
      <c r="J99" s="162">
        <f>+I99-H99</f>
        <v>0</v>
      </c>
      <c r="K99" s="162"/>
      <c r="L99" s="332">
        <f>+H99</f>
        <v>110878.7398202499</v>
      </c>
      <c r="M99" s="161">
        <f t="shared" ref="M99:M130" si="9">IF(L99&lt;&gt;0,+H99-L99,0)</f>
        <v>0</v>
      </c>
      <c r="N99" s="332">
        <f>+I99</f>
        <v>110878.7398202499</v>
      </c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>IU</v>
      </c>
      <c r="C100" s="157">
        <f>IF(D93="","-",+C99+1)</f>
        <v>2016</v>
      </c>
      <c r="D100" s="413">
        <v>1692023</v>
      </c>
      <c r="E100" s="414">
        <v>36783</v>
      </c>
      <c r="F100" s="415">
        <v>1655240</v>
      </c>
      <c r="G100" s="415">
        <v>1673631.5</v>
      </c>
      <c r="H100" s="426">
        <v>252540.45816220198</v>
      </c>
      <c r="I100" s="427">
        <v>252540.45816220198</v>
      </c>
      <c r="J100" s="162">
        <f>+I100-H100</f>
        <v>0</v>
      </c>
      <c r="K100" s="162"/>
      <c r="L100" s="333">
        <f>H100</f>
        <v>252540.45816220198</v>
      </c>
      <c r="M100" s="417">
        <f>IF(L100&lt;&gt;0,+H100-L100,0)</f>
        <v>0</v>
      </c>
      <c r="N100" s="333">
        <f>I100</f>
        <v>252540.45816220198</v>
      </c>
      <c r="O100" s="162">
        <f>IF(N100&lt;&gt;0,+I100-N100,0)</f>
        <v>0</v>
      </c>
      <c r="P100" s="160">
        <f>+O100-M100</f>
        <v>0</v>
      </c>
    </row>
    <row r="101" spans="1:16">
      <c r="B101" s="9" t="str">
        <f t="shared" ref="B101:B154" si="12">IF(D101=F100,"","IU")</f>
        <v/>
      </c>
      <c r="C101" s="157">
        <f>IF(D93="","-",+C100+1)</f>
        <v>2017</v>
      </c>
      <c r="D101" s="413">
        <v>1655240</v>
      </c>
      <c r="E101" s="414">
        <v>36783</v>
      </c>
      <c r="F101" s="415">
        <v>1618457</v>
      </c>
      <c r="G101" s="415">
        <v>1636848.5</v>
      </c>
      <c r="H101" s="426">
        <v>244421.35953995908</v>
      </c>
      <c r="I101" s="427">
        <v>244421.35953995908</v>
      </c>
      <c r="J101" s="162">
        <f t="shared" ref="J101:J154" si="13">+I101-H101</f>
        <v>0</v>
      </c>
      <c r="K101" s="162"/>
      <c r="L101" s="333">
        <f>H101</f>
        <v>244421.35953995908</v>
      </c>
      <c r="M101" s="417">
        <f>IF(L101&lt;&gt;0,+H101-L101,0)</f>
        <v>0</v>
      </c>
      <c r="N101" s="333">
        <f>I101</f>
        <v>244421.35953995908</v>
      </c>
      <c r="O101" s="162">
        <f>IF(N101&lt;&gt;0,+I101-N101,0)</f>
        <v>0</v>
      </c>
      <c r="P101" s="160">
        <f>+O101-M101</f>
        <v>0</v>
      </c>
    </row>
    <row r="102" spans="1:16">
      <c r="B102" s="9" t="str">
        <f t="shared" si="12"/>
        <v/>
      </c>
      <c r="C102" s="157">
        <f>IF(D93="","-",+C101+1)</f>
        <v>2018</v>
      </c>
      <c r="D102" s="158">
        <f>IF(F101+SUM(E$99:E101)=D$92,F101,D$92-SUM(E$99:E101))</f>
        <v>1618457</v>
      </c>
      <c r="E102" s="164">
        <f t="shared" ref="E102:E154" si="14">IF(+J$96&lt;F101,J$96,D102)</f>
        <v>39349</v>
      </c>
      <c r="F102" s="163">
        <f t="shared" ref="F102:F154" si="15">+D102-E102</f>
        <v>1579108</v>
      </c>
      <c r="G102" s="163">
        <f t="shared" ref="G102:G154" si="16">+(F102+D102)/2</f>
        <v>1598782.5</v>
      </c>
      <c r="H102" s="167">
        <f t="shared" ref="H102:H154" si="17">+J$94*G102+E102</f>
        <v>203600.82637045698</v>
      </c>
      <c r="I102" s="312">
        <f t="shared" ref="I102:I154" si="18">+J$95*G102+E102</f>
        <v>203600.82637045698</v>
      </c>
      <c r="J102" s="162">
        <f t="shared" si="13"/>
        <v>0</v>
      </c>
      <c r="K102" s="162"/>
      <c r="L102" s="330"/>
      <c r="M102" s="162">
        <f t="shared" si="9"/>
        <v>0</v>
      </c>
      <c r="N102" s="330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2"/>
        <v/>
      </c>
      <c r="C103" s="157">
        <f>IF(D93="","-",+C102+1)</f>
        <v>2019</v>
      </c>
      <c r="D103" s="158">
        <f>IF(F102+SUM(E$99:E102)=D$92,F102,D$92-SUM(E$99:E102))</f>
        <v>1579108</v>
      </c>
      <c r="E103" s="164">
        <f t="shared" si="14"/>
        <v>39349</v>
      </c>
      <c r="F103" s="163">
        <f t="shared" si="15"/>
        <v>1539759</v>
      </c>
      <c r="G103" s="163">
        <f t="shared" si="16"/>
        <v>1559433.5</v>
      </c>
      <c r="H103" s="167">
        <f t="shared" si="17"/>
        <v>199558.2845513846</v>
      </c>
      <c r="I103" s="312">
        <f t="shared" si="18"/>
        <v>199558.2845513846</v>
      </c>
      <c r="J103" s="162">
        <f t="shared" si="13"/>
        <v>0</v>
      </c>
      <c r="K103" s="162"/>
      <c r="L103" s="330"/>
      <c r="M103" s="162">
        <f t="shared" si="9"/>
        <v>0</v>
      </c>
      <c r="N103" s="330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2"/>
        <v/>
      </c>
      <c r="C104" s="157">
        <f>IF(D93="","-",+C103+1)</f>
        <v>2020</v>
      </c>
      <c r="D104" s="158">
        <f>IF(F103+SUM(E$99:E103)=D$92,F103,D$92-SUM(E$99:E103))</f>
        <v>1539759</v>
      </c>
      <c r="E104" s="164">
        <f t="shared" si="14"/>
        <v>39349</v>
      </c>
      <c r="F104" s="163">
        <f t="shared" si="15"/>
        <v>1500410</v>
      </c>
      <c r="G104" s="163">
        <f t="shared" si="16"/>
        <v>1520084.5</v>
      </c>
      <c r="H104" s="167">
        <f t="shared" si="17"/>
        <v>195515.74273231221</v>
      </c>
      <c r="I104" s="312">
        <f t="shared" si="18"/>
        <v>195515.74273231221</v>
      </c>
      <c r="J104" s="162">
        <f t="shared" si="13"/>
        <v>0</v>
      </c>
      <c r="K104" s="162"/>
      <c r="L104" s="330"/>
      <c r="M104" s="162">
        <f t="shared" si="9"/>
        <v>0</v>
      </c>
      <c r="N104" s="330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2"/>
        <v/>
      </c>
      <c r="C105" s="157">
        <f>IF(D93="","-",+C104+1)</f>
        <v>2021</v>
      </c>
      <c r="D105" s="158">
        <f>IF(F104+SUM(E$99:E104)=D$92,F104,D$92-SUM(E$99:E104))</f>
        <v>1500410</v>
      </c>
      <c r="E105" s="164">
        <f t="shared" si="14"/>
        <v>39349</v>
      </c>
      <c r="F105" s="163">
        <f t="shared" si="15"/>
        <v>1461061</v>
      </c>
      <c r="G105" s="163">
        <f t="shared" si="16"/>
        <v>1480735.5</v>
      </c>
      <c r="H105" s="167">
        <f t="shared" si="17"/>
        <v>191473.20091323979</v>
      </c>
      <c r="I105" s="312">
        <f t="shared" si="18"/>
        <v>191473.20091323979</v>
      </c>
      <c r="J105" s="162">
        <f t="shared" si="13"/>
        <v>0</v>
      </c>
      <c r="K105" s="162"/>
      <c r="L105" s="330"/>
      <c r="M105" s="162">
        <f t="shared" si="9"/>
        <v>0</v>
      </c>
      <c r="N105" s="330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2"/>
        <v/>
      </c>
      <c r="C106" s="157">
        <f>IF(D93="","-",+C105+1)</f>
        <v>2022</v>
      </c>
      <c r="D106" s="158">
        <f>IF(F105+SUM(E$99:E105)=D$92,F105,D$92-SUM(E$99:E105))</f>
        <v>1461061</v>
      </c>
      <c r="E106" s="164">
        <f t="shared" si="14"/>
        <v>39349</v>
      </c>
      <c r="F106" s="163">
        <f t="shared" si="15"/>
        <v>1421712</v>
      </c>
      <c r="G106" s="163">
        <f t="shared" si="16"/>
        <v>1441386.5</v>
      </c>
      <c r="H106" s="167">
        <f t="shared" si="17"/>
        <v>187430.65909416741</v>
      </c>
      <c r="I106" s="312">
        <f t="shared" si="18"/>
        <v>187430.65909416741</v>
      </c>
      <c r="J106" s="162">
        <f t="shared" si="13"/>
        <v>0</v>
      </c>
      <c r="K106" s="162"/>
      <c r="L106" s="330"/>
      <c r="M106" s="162">
        <f t="shared" si="9"/>
        <v>0</v>
      </c>
      <c r="N106" s="330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2"/>
        <v/>
      </c>
      <c r="C107" s="157">
        <f>IF(D93="","-",+C106+1)</f>
        <v>2023</v>
      </c>
      <c r="D107" s="158">
        <f>IF(F106+SUM(E$99:E106)=D$92,F106,D$92-SUM(E$99:E106))</f>
        <v>1421712</v>
      </c>
      <c r="E107" s="164">
        <f t="shared" si="14"/>
        <v>39349</v>
      </c>
      <c r="F107" s="163">
        <f t="shared" si="15"/>
        <v>1382363</v>
      </c>
      <c r="G107" s="163">
        <f t="shared" si="16"/>
        <v>1402037.5</v>
      </c>
      <c r="H107" s="167">
        <f t="shared" si="17"/>
        <v>183388.11727509502</v>
      </c>
      <c r="I107" s="312">
        <f t="shared" si="18"/>
        <v>183388.11727509502</v>
      </c>
      <c r="J107" s="162">
        <f t="shared" si="13"/>
        <v>0</v>
      </c>
      <c r="K107" s="162"/>
      <c r="L107" s="330"/>
      <c r="M107" s="162">
        <f t="shared" si="9"/>
        <v>0</v>
      </c>
      <c r="N107" s="330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2"/>
        <v/>
      </c>
      <c r="C108" s="157">
        <f>IF(D93="","-",+C107+1)</f>
        <v>2024</v>
      </c>
      <c r="D108" s="158">
        <f>IF(F107+SUM(E$99:E107)=D$92,F107,D$92-SUM(E$99:E107))</f>
        <v>1382363</v>
      </c>
      <c r="E108" s="164">
        <f t="shared" si="14"/>
        <v>39349</v>
      </c>
      <c r="F108" s="163">
        <f t="shared" si="15"/>
        <v>1343014</v>
      </c>
      <c r="G108" s="163">
        <f t="shared" si="16"/>
        <v>1362688.5</v>
      </c>
      <c r="H108" s="167">
        <f t="shared" si="17"/>
        <v>179345.57545602263</v>
      </c>
      <c r="I108" s="312">
        <f t="shared" si="18"/>
        <v>179345.57545602263</v>
      </c>
      <c r="J108" s="162">
        <f t="shared" si="13"/>
        <v>0</v>
      </c>
      <c r="K108" s="162"/>
      <c r="L108" s="330"/>
      <c r="M108" s="162">
        <f t="shared" si="9"/>
        <v>0</v>
      </c>
      <c r="N108" s="330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2"/>
        <v/>
      </c>
      <c r="C109" s="157">
        <f>IF(D93="","-",+C108+1)</f>
        <v>2025</v>
      </c>
      <c r="D109" s="158">
        <f>IF(F108+SUM(E$99:E108)=D$92,F108,D$92-SUM(E$99:E108))</f>
        <v>1343014</v>
      </c>
      <c r="E109" s="164">
        <f t="shared" si="14"/>
        <v>39349</v>
      </c>
      <c r="F109" s="163">
        <f t="shared" si="15"/>
        <v>1303665</v>
      </c>
      <c r="G109" s="163">
        <f t="shared" si="16"/>
        <v>1323339.5</v>
      </c>
      <c r="H109" s="167">
        <f t="shared" si="17"/>
        <v>175303.03363695022</v>
      </c>
      <c r="I109" s="312">
        <f t="shared" si="18"/>
        <v>175303.03363695022</v>
      </c>
      <c r="J109" s="162">
        <f t="shared" si="13"/>
        <v>0</v>
      </c>
      <c r="K109" s="162"/>
      <c r="L109" s="330"/>
      <c r="M109" s="162">
        <f t="shared" si="9"/>
        <v>0</v>
      </c>
      <c r="N109" s="330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2"/>
        <v/>
      </c>
      <c r="C110" s="157">
        <f>IF(D93="","-",+C109+1)</f>
        <v>2026</v>
      </c>
      <c r="D110" s="158">
        <f>IF(F109+SUM(E$99:E109)=D$92,F109,D$92-SUM(E$99:E109))</f>
        <v>1303665</v>
      </c>
      <c r="E110" s="164">
        <f t="shared" si="14"/>
        <v>39349</v>
      </c>
      <c r="F110" s="163">
        <f t="shared" si="15"/>
        <v>1264316</v>
      </c>
      <c r="G110" s="163">
        <f t="shared" si="16"/>
        <v>1283990.5</v>
      </c>
      <c r="H110" s="167">
        <f t="shared" si="17"/>
        <v>171260.49181787783</v>
      </c>
      <c r="I110" s="312">
        <f t="shared" si="18"/>
        <v>171260.49181787783</v>
      </c>
      <c r="J110" s="162">
        <f t="shared" si="13"/>
        <v>0</v>
      </c>
      <c r="K110" s="162"/>
      <c r="L110" s="330"/>
      <c r="M110" s="162">
        <f t="shared" si="9"/>
        <v>0</v>
      </c>
      <c r="N110" s="330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2"/>
        <v/>
      </c>
      <c r="C111" s="157">
        <f>IF(D93="","-",+C110+1)</f>
        <v>2027</v>
      </c>
      <c r="D111" s="158">
        <f>IF(F110+SUM(E$99:E110)=D$92,F110,D$92-SUM(E$99:E110))</f>
        <v>1264316</v>
      </c>
      <c r="E111" s="164">
        <f t="shared" si="14"/>
        <v>39349</v>
      </c>
      <c r="F111" s="163">
        <f t="shared" si="15"/>
        <v>1224967</v>
      </c>
      <c r="G111" s="163">
        <f t="shared" si="16"/>
        <v>1244641.5</v>
      </c>
      <c r="H111" s="167">
        <f t="shared" si="17"/>
        <v>167217.94999880542</v>
      </c>
      <c r="I111" s="312">
        <f t="shared" si="18"/>
        <v>167217.94999880542</v>
      </c>
      <c r="J111" s="162">
        <f t="shared" si="13"/>
        <v>0</v>
      </c>
      <c r="K111" s="162"/>
      <c r="L111" s="330"/>
      <c r="M111" s="162">
        <f t="shared" si="9"/>
        <v>0</v>
      </c>
      <c r="N111" s="330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2"/>
        <v/>
      </c>
      <c r="C112" s="157">
        <f>IF(D93="","-",+C111+1)</f>
        <v>2028</v>
      </c>
      <c r="D112" s="158">
        <f>IF(F111+SUM(E$99:E111)=D$92,F111,D$92-SUM(E$99:E111))</f>
        <v>1224967</v>
      </c>
      <c r="E112" s="164">
        <f t="shared" si="14"/>
        <v>39349</v>
      </c>
      <c r="F112" s="163">
        <f t="shared" si="15"/>
        <v>1185618</v>
      </c>
      <c r="G112" s="163">
        <f t="shared" si="16"/>
        <v>1205292.5</v>
      </c>
      <c r="H112" s="167">
        <f t="shared" si="17"/>
        <v>163175.40817973303</v>
      </c>
      <c r="I112" s="312">
        <f t="shared" si="18"/>
        <v>163175.40817973303</v>
      </c>
      <c r="J112" s="162">
        <f t="shared" si="13"/>
        <v>0</v>
      </c>
      <c r="K112" s="162"/>
      <c r="L112" s="330"/>
      <c r="M112" s="162">
        <f t="shared" si="9"/>
        <v>0</v>
      </c>
      <c r="N112" s="330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2"/>
        <v/>
      </c>
      <c r="C113" s="157">
        <f>IF(D93="","-",+C112+1)</f>
        <v>2029</v>
      </c>
      <c r="D113" s="158">
        <f>IF(F112+SUM(E$99:E112)=D$92,F112,D$92-SUM(E$99:E112))</f>
        <v>1185618</v>
      </c>
      <c r="E113" s="164">
        <f t="shared" si="14"/>
        <v>39349</v>
      </c>
      <c r="F113" s="163">
        <f t="shared" si="15"/>
        <v>1146269</v>
      </c>
      <c r="G113" s="163">
        <f t="shared" si="16"/>
        <v>1165943.5</v>
      </c>
      <c r="H113" s="167">
        <f t="shared" si="17"/>
        <v>159132.86636066064</v>
      </c>
      <c r="I113" s="312">
        <f t="shared" si="18"/>
        <v>159132.86636066064</v>
      </c>
      <c r="J113" s="162">
        <f t="shared" si="13"/>
        <v>0</v>
      </c>
      <c r="K113" s="162"/>
      <c r="L113" s="330"/>
      <c r="M113" s="162">
        <f t="shared" si="9"/>
        <v>0</v>
      </c>
      <c r="N113" s="330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2"/>
        <v/>
      </c>
      <c r="C114" s="157">
        <f>IF(D93="","-",+C113+1)</f>
        <v>2030</v>
      </c>
      <c r="D114" s="158">
        <f>IF(F113+SUM(E$99:E113)=D$92,F113,D$92-SUM(E$99:E113))</f>
        <v>1146269</v>
      </c>
      <c r="E114" s="164">
        <f t="shared" si="14"/>
        <v>39349</v>
      </c>
      <c r="F114" s="163">
        <f t="shared" si="15"/>
        <v>1106920</v>
      </c>
      <c r="G114" s="163">
        <f t="shared" si="16"/>
        <v>1126594.5</v>
      </c>
      <c r="H114" s="167">
        <f t="shared" si="17"/>
        <v>155090.32454158826</v>
      </c>
      <c r="I114" s="312">
        <f t="shared" si="18"/>
        <v>155090.32454158826</v>
      </c>
      <c r="J114" s="162">
        <f t="shared" si="13"/>
        <v>0</v>
      </c>
      <c r="K114" s="162"/>
      <c r="L114" s="330"/>
      <c r="M114" s="162">
        <f t="shared" si="9"/>
        <v>0</v>
      </c>
      <c r="N114" s="330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2"/>
        <v/>
      </c>
      <c r="C115" s="157">
        <f>IF(D93="","-",+C114+1)</f>
        <v>2031</v>
      </c>
      <c r="D115" s="158">
        <f>IF(F114+SUM(E$99:E114)=D$92,F114,D$92-SUM(E$99:E114))</f>
        <v>1106920</v>
      </c>
      <c r="E115" s="164">
        <f t="shared" si="14"/>
        <v>39349</v>
      </c>
      <c r="F115" s="163">
        <f t="shared" si="15"/>
        <v>1067571</v>
      </c>
      <c r="G115" s="163">
        <f t="shared" si="16"/>
        <v>1087245.5</v>
      </c>
      <c r="H115" s="167">
        <f t="shared" si="17"/>
        <v>151047.78272251587</v>
      </c>
      <c r="I115" s="312">
        <f t="shared" si="18"/>
        <v>151047.78272251587</v>
      </c>
      <c r="J115" s="162">
        <f t="shared" si="13"/>
        <v>0</v>
      </c>
      <c r="K115" s="162"/>
      <c r="L115" s="330"/>
      <c r="M115" s="162">
        <f t="shared" si="9"/>
        <v>0</v>
      </c>
      <c r="N115" s="330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2"/>
        <v/>
      </c>
      <c r="C116" s="157">
        <f>IF(D93="","-",+C115+1)</f>
        <v>2032</v>
      </c>
      <c r="D116" s="158">
        <f>IF(F115+SUM(E$99:E115)=D$92,F115,D$92-SUM(E$99:E115))</f>
        <v>1067571</v>
      </c>
      <c r="E116" s="164">
        <f t="shared" si="14"/>
        <v>39349</v>
      </c>
      <c r="F116" s="163">
        <f t="shared" si="15"/>
        <v>1028222</v>
      </c>
      <c r="G116" s="163">
        <f t="shared" si="16"/>
        <v>1047896.5</v>
      </c>
      <c r="H116" s="167">
        <f t="shared" si="17"/>
        <v>147005.24090344345</v>
      </c>
      <c r="I116" s="312">
        <f t="shared" si="18"/>
        <v>147005.24090344345</v>
      </c>
      <c r="J116" s="162">
        <f t="shared" si="13"/>
        <v>0</v>
      </c>
      <c r="K116" s="162"/>
      <c r="L116" s="330"/>
      <c r="M116" s="162">
        <f t="shared" si="9"/>
        <v>0</v>
      </c>
      <c r="N116" s="330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2"/>
        <v/>
      </c>
      <c r="C117" s="157">
        <f>IF(D93="","-",+C116+1)</f>
        <v>2033</v>
      </c>
      <c r="D117" s="158">
        <f>IF(F116+SUM(E$99:E116)=D$92,F116,D$92-SUM(E$99:E116))</f>
        <v>1028222</v>
      </c>
      <c r="E117" s="164">
        <f t="shared" si="14"/>
        <v>39349</v>
      </c>
      <c r="F117" s="163">
        <f t="shared" si="15"/>
        <v>988873</v>
      </c>
      <c r="G117" s="163">
        <f t="shared" si="16"/>
        <v>1008547.5</v>
      </c>
      <c r="H117" s="167">
        <f t="shared" si="17"/>
        <v>142962.69908437107</v>
      </c>
      <c r="I117" s="312">
        <f t="shared" si="18"/>
        <v>142962.69908437107</v>
      </c>
      <c r="J117" s="162">
        <f t="shared" si="13"/>
        <v>0</v>
      </c>
      <c r="K117" s="162"/>
      <c r="L117" s="330"/>
      <c r="M117" s="162">
        <f t="shared" si="9"/>
        <v>0</v>
      </c>
      <c r="N117" s="330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2"/>
        <v/>
      </c>
      <c r="C118" s="157">
        <f>IF(D93="","-",+C117+1)</f>
        <v>2034</v>
      </c>
      <c r="D118" s="158">
        <f>IF(F117+SUM(E$99:E117)=D$92,F117,D$92-SUM(E$99:E117))</f>
        <v>988873</v>
      </c>
      <c r="E118" s="164">
        <f t="shared" si="14"/>
        <v>39349</v>
      </c>
      <c r="F118" s="163">
        <f t="shared" si="15"/>
        <v>949524</v>
      </c>
      <c r="G118" s="163">
        <f t="shared" si="16"/>
        <v>969198.5</v>
      </c>
      <c r="H118" s="167">
        <f t="shared" si="17"/>
        <v>138920.15726529865</v>
      </c>
      <c r="I118" s="312">
        <f t="shared" si="18"/>
        <v>138920.15726529865</v>
      </c>
      <c r="J118" s="162">
        <f t="shared" si="13"/>
        <v>0</v>
      </c>
      <c r="K118" s="162"/>
      <c r="L118" s="330"/>
      <c r="M118" s="162">
        <f t="shared" si="9"/>
        <v>0</v>
      </c>
      <c r="N118" s="330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2"/>
        <v/>
      </c>
      <c r="C119" s="157">
        <f>IF(D93="","-",+C118+1)</f>
        <v>2035</v>
      </c>
      <c r="D119" s="158">
        <f>IF(F118+SUM(E$99:E118)=D$92,F118,D$92-SUM(E$99:E118))</f>
        <v>949524</v>
      </c>
      <c r="E119" s="164">
        <f t="shared" si="14"/>
        <v>39349</v>
      </c>
      <c r="F119" s="163">
        <f t="shared" si="15"/>
        <v>910175</v>
      </c>
      <c r="G119" s="163">
        <f t="shared" si="16"/>
        <v>929849.5</v>
      </c>
      <c r="H119" s="167">
        <f t="shared" si="17"/>
        <v>134877.61544622626</v>
      </c>
      <c r="I119" s="312">
        <f t="shared" si="18"/>
        <v>134877.61544622626</v>
      </c>
      <c r="J119" s="162">
        <f t="shared" si="13"/>
        <v>0</v>
      </c>
      <c r="K119" s="162"/>
      <c r="L119" s="330"/>
      <c r="M119" s="162">
        <f t="shared" si="9"/>
        <v>0</v>
      </c>
      <c r="N119" s="330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2"/>
        <v/>
      </c>
      <c r="C120" s="157">
        <f>IF(D93="","-",+C119+1)</f>
        <v>2036</v>
      </c>
      <c r="D120" s="158">
        <f>IF(F119+SUM(E$99:E119)=D$92,F119,D$92-SUM(E$99:E119))</f>
        <v>910175</v>
      </c>
      <c r="E120" s="164">
        <f t="shared" si="14"/>
        <v>39349</v>
      </c>
      <c r="F120" s="163">
        <f t="shared" si="15"/>
        <v>870826</v>
      </c>
      <c r="G120" s="163">
        <f t="shared" si="16"/>
        <v>890500.5</v>
      </c>
      <c r="H120" s="167">
        <f t="shared" si="17"/>
        <v>130835.07362715388</v>
      </c>
      <c r="I120" s="312">
        <f t="shared" si="18"/>
        <v>130835.07362715388</v>
      </c>
      <c r="J120" s="162">
        <f t="shared" si="13"/>
        <v>0</v>
      </c>
      <c r="K120" s="162"/>
      <c r="L120" s="330"/>
      <c r="M120" s="162">
        <f t="shared" si="9"/>
        <v>0</v>
      </c>
      <c r="N120" s="330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2"/>
        <v/>
      </c>
      <c r="C121" s="157">
        <f>IF(D93="","-",+C120+1)</f>
        <v>2037</v>
      </c>
      <c r="D121" s="158">
        <f>IF(F120+SUM(E$99:E120)=D$92,F120,D$92-SUM(E$99:E120))</f>
        <v>870826</v>
      </c>
      <c r="E121" s="164">
        <f t="shared" si="14"/>
        <v>39349</v>
      </c>
      <c r="F121" s="163">
        <f t="shared" si="15"/>
        <v>831477</v>
      </c>
      <c r="G121" s="163">
        <f t="shared" si="16"/>
        <v>851151.5</v>
      </c>
      <c r="H121" s="167">
        <f t="shared" si="17"/>
        <v>126792.53180808148</v>
      </c>
      <c r="I121" s="312">
        <f t="shared" si="18"/>
        <v>126792.53180808148</v>
      </c>
      <c r="J121" s="162">
        <f t="shared" si="13"/>
        <v>0</v>
      </c>
      <c r="K121" s="162"/>
      <c r="L121" s="330"/>
      <c r="M121" s="162">
        <f t="shared" si="9"/>
        <v>0</v>
      </c>
      <c r="N121" s="330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2"/>
        <v/>
      </c>
      <c r="C122" s="157">
        <f>IF(D93="","-",+C121+1)</f>
        <v>2038</v>
      </c>
      <c r="D122" s="158">
        <f>IF(F121+SUM(E$99:E121)=D$92,F121,D$92-SUM(E$99:E121))</f>
        <v>831477</v>
      </c>
      <c r="E122" s="164">
        <f t="shared" si="14"/>
        <v>39349</v>
      </c>
      <c r="F122" s="163">
        <f t="shared" si="15"/>
        <v>792128</v>
      </c>
      <c r="G122" s="163">
        <f t="shared" si="16"/>
        <v>811802.5</v>
      </c>
      <c r="H122" s="167">
        <f t="shared" si="17"/>
        <v>122749.98998900909</v>
      </c>
      <c r="I122" s="312">
        <f t="shared" si="18"/>
        <v>122749.98998900909</v>
      </c>
      <c r="J122" s="162">
        <f t="shared" si="13"/>
        <v>0</v>
      </c>
      <c r="K122" s="162"/>
      <c r="L122" s="330"/>
      <c r="M122" s="162">
        <f t="shared" si="9"/>
        <v>0</v>
      </c>
      <c r="N122" s="330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2"/>
        <v/>
      </c>
      <c r="C123" s="157">
        <f>IF(D93="","-",+C122+1)</f>
        <v>2039</v>
      </c>
      <c r="D123" s="158">
        <f>IF(F122+SUM(E$99:E122)=D$92,F122,D$92-SUM(E$99:E122))</f>
        <v>792128</v>
      </c>
      <c r="E123" s="164">
        <f t="shared" si="14"/>
        <v>39349</v>
      </c>
      <c r="F123" s="163">
        <f t="shared" si="15"/>
        <v>752779</v>
      </c>
      <c r="G123" s="163">
        <f t="shared" si="16"/>
        <v>772453.5</v>
      </c>
      <c r="H123" s="167">
        <f t="shared" si="17"/>
        <v>118707.44816993669</v>
      </c>
      <c r="I123" s="312">
        <f t="shared" si="18"/>
        <v>118707.44816993669</v>
      </c>
      <c r="J123" s="162">
        <f t="shared" si="13"/>
        <v>0</v>
      </c>
      <c r="K123" s="162"/>
      <c r="L123" s="330"/>
      <c r="M123" s="162">
        <f t="shared" si="9"/>
        <v>0</v>
      </c>
      <c r="N123" s="330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2"/>
        <v/>
      </c>
      <c r="C124" s="157">
        <f>IF(D93="","-",+C123+1)</f>
        <v>2040</v>
      </c>
      <c r="D124" s="158">
        <f>IF(F123+SUM(E$99:E123)=D$92,F123,D$92-SUM(E$99:E123))</f>
        <v>752779</v>
      </c>
      <c r="E124" s="164">
        <f t="shared" si="14"/>
        <v>39349</v>
      </c>
      <c r="F124" s="163">
        <f t="shared" si="15"/>
        <v>713430</v>
      </c>
      <c r="G124" s="163">
        <f t="shared" si="16"/>
        <v>733104.5</v>
      </c>
      <c r="H124" s="167">
        <f t="shared" si="17"/>
        <v>114664.90635086429</v>
      </c>
      <c r="I124" s="312">
        <f t="shared" si="18"/>
        <v>114664.90635086429</v>
      </c>
      <c r="J124" s="162">
        <f t="shared" si="13"/>
        <v>0</v>
      </c>
      <c r="K124" s="162"/>
      <c r="L124" s="330"/>
      <c r="M124" s="162">
        <f t="shared" si="9"/>
        <v>0</v>
      </c>
      <c r="N124" s="330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2"/>
        <v/>
      </c>
      <c r="C125" s="157">
        <f>IF(D93="","-",+C124+1)</f>
        <v>2041</v>
      </c>
      <c r="D125" s="158">
        <f>IF(F124+SUM(E$99:E124)=D$92,F124,D$92-SUM(E$99:E124))</f>
        <v>713430</v>
      </c>
      <c r="E125" s="164">
        <f t="shared" si="14"/>
        <v>39349</v>
      </c>
      <c r="F125" s="163">
        <f t="shared" si="15"/>
        <v>674081</v>
      </c>
      <c r="G125" s="163">
        <f t="shared" si="16"/>
        <v>693755.5</v>
      </c>
      <c r="H125" s="167">
        <f t="shared" si="17"/>
        <v>110622.3645317919</v>
      </c>
      <c r="I125" s="312">
        <f t="shared" si="18"/>
        <v>110622.3645317919</v>
      </c>
      <c r="J125" s="162">
        <f t="shared" si="13"/>
        <v>0</v>
      </c>
      <c r="K125" s="162"/>
      <c r="L125" s="330"/>
      <c r="M125" s="162">
        <f t="shared" si="9"/>
        <v>0</v>
      </c>
      <c r="N125" s="330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2"/>
        <v/>
      </c>
      <c r="C126" s="157">
        <f>IF(D93="","-",+C125+1)</f>
        <v>2042</v>
      </c>
      <c r="D126" s="158">
        <f>IF(F125+SUM(E$99:E125)=D$92,F125,D$92-SUM(E$99:E125))</f>
        <v>674081</v>
      </c>
      <c r="E126" s="164">
        <f t="shared" si="14"/>
        <v>39349</v>
      </c>
      <c r="F126" s="163">
        <f t="shared" si="15"/>
        <v>634732</v>
      </c>
      <c r="G126" s="163">
        <f t="shared" si="16"/>
        <v>654406.5</v>
      </c>
      <c r="H126" s="167">
        <f t="shared" si="17"/>
        <v>106579.8227127195</v>
      </c>
      <c r="I126" s="312">
        <f t="shared" si="18"/>
        <v>106579.8227127195</v>
      </c>
      <c r="J126" s="162">
        <f t="shared" si="13"/>
        <v>0</v>
      </c>
      <c r="K126" s="162"/>
      <c r="L126" s="330"/>
      <c r="M126" s="162">
        <f t="shared" si="9"/>
        <v>0</v>
      </c>
      <c r="N126" s="330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2"/>
        <v/>
      </c>
      <c r="C127" s="157">
        <f>IF(D93="","-",+C126+1)</f>
        <v>2043</v>
      </c>
      <c r="D127" s="158">
        <f>IF(F126+SUM(E$99:E126)=D$92,F126,D$92-SUM(E$99:E126))</f>
        <v>634732</v>
      </c>
      <c r="E127" s="164">
        <f t="shared" si="14"/>
        <v>39349</v>
      </c>
      <c r="F127" s="163">
        <f t="shared" si="15"/>
        <v>595383</v>
      </c>
      <c r="G127" s="163">
        <f t="shared" si="16"/>
        <v>615057.5</v>
      </c>
      <c r="H127" s="167">
        <f t="shared" si="17"/>
        <v>102537.28089364711</v>
      </c>
      <c r="I127" s="312">
        <f t="shared" si="18"/>
        <v>102537.28089364711</v>
      </c>
      <c r="J127" s="162">
        <f t="shared" si="13"/>
        <v>0</v>
      </c>
      <c r="K127" s="162"/>
      <c r="L127" s="330"/>
      <c r="M127" s="162">
        <f t="shared" si="9"/>
        <v>0</v>
      </c>
      <c r="N127" s="330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2"/>
        <v/>
      </c>
      <c r="C128" s="157">
        <f>IF(D93="","-",+C127+1)</f>
        <v>2044</v>
      </c>
      <c r="D128" s="158">
        <f>IF(F127+SUM(E$99:E127)=D$92,F127,D$92-SUM(E$99:E127))</f>
        <v>595383</v>
      </c>
      <c r="E128" s="164">
        <f t="shared" si="14"/>
        <v>39349</v>
      </c>
      <c r="F128" s="163">
        <f t="shared" si="15"/>
        <v>556034</v>
      </c>
      <c r="G128" s="163">
        <f t="shared" si="16"/>
        <v>575708.5</v>
      </c>
      <c r="H128" s="167">
        <f t="shared" si="17"/>
        <v>98494.739074574711</v>
      </c>
      <c r="I128" s="312">
        <f t="shared" si="18"/>
        <v>98494.739074574711</v>
      </c>
      <c r="J128" s="162">
        <f t="shared" si="13"/>
        <v>0</v>
      </c>
      <c r="K128" s="162"/>
      <c r="L128" s="330"/>
      <c r="M128" s="162">
        <f t="shared" si="9"/>
        <v>0</v>
      </c>
      <c r="N128" s="330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2"/>
        <v/>
      </c>
      <c r="C129" s="157">
        <f>IF(D93="","-",+C128+1)</f>
        <v>2045</v>
      </c>
      <c r="D129" s="158">
        <f>IF(F128+SUM(E$99:E128)=D$92,F128,D$92-SUM(E$99:E128))</f>
        <v>556034</v>
      </c>
      <c r="E129" s="164">
        <f t="shared" si="14"/>
        <v>39349</v>
      </c>
      <c r="F129" s="163">
        <f t="shared" si="15"/>
        <v>516685</v>
      </c>
      <c r="G129" s="163">
        <f t="shared" si="16"/>
        <v>536359.5</v>
      </c>
      <c r="H129" s="167">
        <f t="shared" si="17"/>
        <v>94452.197255502309</v>
      </c>
      <c r="I129" s="312">
        <f t="shared" si="18"/>
        <v>94452.197255502309</v>
      </c>
      <c r="J129" s="162">
        <f t="shared" si="13"/>
        <v>0</v>
      </c>
      <c r="K129" s="162"/>
      <c r="L129" s="330"/>
      <c r="M129" s="162">
        <f t="shared" si="9"/>
        <v>0</v>
      </c>
      <c r="N129" s="330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2"/>
        <v/>
      </c>
      <c r="C130" s="157">
        <f>IF(D93="","-",+C129+1)</f>
        <v>2046</v>
      </c>
      <c r="D130" s="158">
        <f>IF(F129+SUM(E$99:E129)=D$92,F129,D$92-SUM(E$99:E129))</f>
        <v>516685</v>
      </c>
      <c r="E130" s="164">
        <f t="shared" si="14"/>
        <v>39349</v>
      </c>
      <c r="F130" s="163">
        <f t="shared" si="15"/>
        <v>477336</v>
      </c>
      <c r="G130" s="163">
        <f t="shared" si="16"/>
        <v>497010.5</v>
      </c>
      <c r="H130" s="167">
        <f t="shared" si="17"/>
        <v>90409.655436429923</v>
      </c>
      <c r="I130" s="312">
        <f t="shared" si="18"/>
        <v>90409.655436429923</v>
      </c>
      <c r="J130" s="162">
        <f t="shared" si="13"/>
        <v>0</v>
      </c>
      <c r="K130" s="162"/>
      <c r="L130" s="330"/>
      <c r="M130" s="162">
        <f t="shared" si="9"/>
        <v>0</v>
      </c>
      <c r="N130" s="330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2"/>
        <v/>
      </c>
      <c r="C131" s="157">
        <f>IF(D93="","-",+C130+1)</f>
        <v>2047</v>
      </c>
      <c r="D131" s="158">
        <f>IF(F130+SUM(E$99:E130)=D$92,F130,D$92-SUM(E$99:E130))</f>
        <v>477336</v>
      </c>
      <c r="E131" s="164">
        <f t="shared" si="14"/>
        <v>39349</v>
      </c>
      <c r="F131" s="163">
        <f t="shared" si="15"/>
        <v>437987</v>
      </c>
      <c r="G131" s="163">
        <f t="shared" si="16"/>
        <v>457661.5</v>
      </c>
      <c r="H131" s="167">
        <f t="shared" si="17"/>
        <v>86367.113617357521</v>
      </c>
      <c r="I131" s="312">
        <f t="shared" si="18"/>
        <v>86367.113617357521</v>
      </c>
      <c r="J131" s="162">
        <f t="shared" si="13"/>
        <v>0</v>
      </c>
      <c r="K131" s="162"/>
      <c r="L131" s="330"/>
      <c r="M131" s="162">
        <f t="shared" ref="M131:M154" si="19">IF(L541&lt;&gt;0,+H541-L541,0)</f>
        <v>0</v>
      </c>
      <c r="N131" s="330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12"/>
        <v/>
      </c>
      <c r="C132" s="157">
        <f>IF(D93="","-",+C131+1)</f>
        <v>2048</v>
      </c>
      <c r="D132" s="158">
        <f>IF(F131+SUM(E$99:E131)=D$92,F131,D$92-SUM(E$99:E131))</f>
        <v>437987</v>
      </c>
      <c r="E132" s="164">
        <f t="shared" si="14"/>
        <v>39349</v>
      </c>
      <c r="F132" s="163">
        <f t="shared" si="15"/>
        <v>398638</v>
      </c>
      <c r="G132" s="163">
        <f t="shared" si="16"/>
        <v>418312.5</v>
      </c>
      <c r="H132" s="167">
        <f t="shared" si="17"/>
        <v>82324.57179828512</v>
      </c>
      <c r="I132" s="312">
        <f t="shared" si="18"/>
        <v>82324.57179828512</v>
      </c>
      <c r="J132" s="162">
        <f t="shared" si="13"/>
        <v>0</v>
      </c>
      <c r="K132" s="162"/>
      <c r="L132" s="330"/>
      <c r="M132" s="162">
        <f t="shared" si="19"/>
        <v>0</v>
      </c>
      <c r="N132" s="330"/>
      <c r="O132" s="162">
        <f t="shared" si="20"/>
        <v>0</v>
      </c>
      <c r="P132" s="162">
        <f t="shared" si="21"/>
        <v>0</v>
      </c>
    </row>
    <row r="133" spans="2:16">
      <c r="B133" s="9" t="str">
        <f t="shared" si="12"/>
        <v/>
      </c>
      <c r="C133" s="157">
        <f>IF(D93="","-",+C132+1)</f>
        <v>2049</v>
      </c>
      <c r="D133" s="158">
        <f>IF(F132+SUM(E$99:E132)=D$92,F132,D$92-SUM(E$99:E132))</f>
        <v>398638</v>
      </c>
      <c r="E133" s="164">
        <f t="shared" si="14"/>
        <v>39349</v>
      </c>
      <c r="F133" s="163">
        <f t="shared" si="15"/>
        <v>359289</v>
      </c>
      <c r="G133" s="163">
        <f t="shared" si="16"/>
        <v>378963.5</v>
      </c>
      <c r="H133" s="167">
        <f t="shared" si="17"/>
        <v>78282.029979212733</v>
      </c>
      <c r="I133" s="312">
        <f t="shared" si="18"/>
        <v>78282.029979212733</v>
      </c>
      <c r="J133" s="162">
        <f t="shared" si="13"/>
        <v>0</v>
      </c>
      <c r="K133" s="162"/>
      <c r="L133" s="330"/>
      <c r="M133" s="162">
        <f t="shared" si="19"/>
        <v>0</v>
      </c>
      <c r="N133" s="330"/>
      <c r="O133" s="162">
        <f t="shared" si="20"/>
        <v>0</v>
      </c>
      <c r="P133" s="162">
        <f t="shared" si="21"/>
        <v>0</v>
      </c>
    </row>
    <row r="134" spans="2:16">
      <c r="B134" s="9" t="str">
        <f t="shared" si="12"/>
        <v/>
      </c>
      <c r="C134" s="157">
        <f>IF(D93="","-",+C133+1)</f>
        <v>2050</v>
      </c>
      <c r="D134" s="158">
        <f>IF(F133+SUM(E$99:E133)=D$92,F133,D$92-SUM(E$99:E133))</f>
        <v>359289</v>
      </c>
      <c r="E134" s="164">
        <f t="shared" si="14"/>
        <v>39349</v>
      </c>
      <c r="F134" s="163">
        <f t="shared" si="15"/>
        <v>319940</v>
      </c>
      <c r="G134" s="163">
        <f t="shared" si="16"/>
        <v>339614.5</v>
      </c>
      <c r="H134" s="167">
        <f t="shared" si="17"/>
        <v>74239.488160140347</v>
      </c>
      <c r="I134" s="312">
        <f t="shared" si="18"/>
        <v>74239.488160140347</v>
      </c>
      <c r="J134" s="162">
        <f t="shared" si="13"/>
        <v>0</v>
      </c>
      <c r="K134" s="162"/>
      <c r="L134" s="330"/>
      <c r="M134" s="162">
        <f t="shared" si="19"/>
        <v>0</v>
      </c>
      <c r="N134" s="330"/>
      <c r="O134" s="162">
        <f t="shared" si="20"/>
        <v>0</v>
      </c>
      <c r="P134" s="162">
        <f t="shared" si="21"/>
        <v>0</v>
      </c>
    </row>
    <row r="135" spans="2:16">
      <c r="B135" s="9" t="str">
        <f t="shared" si="12"/>
        <v/>
      </c>
      <c r="C135" s="157">
        <f>IF(D93="","-",+C134+1)</f>
        <v>2051</v>
      </c>
      <c r="D135" s="158">
        <f>IF(F134+SUM(E$99:E134)=D$92,F134,D$92-SUM(E$99:E134))</f>
        <v>319940</v>
      </c>
      <c r="E135" s="164">
        <f t="shared" si="14"/>
        <v>39349</v>
      </c>
      <c r="F135" s="163">
        <f t="shared" si="15"/>
        <v>280591</v>
      </c>
      <c r="G135" s="163">
        <f t="shared" si="16"/>
        <v>300265.5</v>
      </c>
      <c r="H135" s="167">
        <f t="shared" si="17"/>
        <v>70196.946341067945</v>
      </c>
      <c r="I135" s="312">
        <f t="shared" si="18"/>
        <v>70196.946341067945</v>
      </c>
      <c r="J135" s="162">
        <f t="shared" si="13"/>
        <v>0</v>
      </c>
      <c r="K135" s="162"/>
      <c r="L135" s="330"/>
      <c r="M135" s="162">
        <f t="shared" si="19"/>
        <v>0</v>
      </c>
      <c r="N135" s="330"/>
      <c r="O135" s="162">
        <f t="shared" si="20"/>
        <v>0</v>
      </c>
      <c r="P135" s="162">
        <f t="shared" si="21"/>
        <v>0</v>
      </c>
    </row>
    <row r="136" spans="2:16">
      <c r="B136" s="9" t="str">
        <f t="shared" si="12"/>
        <v/>
      </c>
      <c r="C136" s="157">
        <f>IF(D93="","-",+C135+1)</f>
        <v>2052</v>
      </c>
      <c r="D136" s="158">
        <f>IF(F135+SUM(E$99:E135)=D$92,F135,D$92-SUM(E$99:E135))</f>
        <v>280591</v>
      </c>
      <c r="E136" s="164">
        <f t="shared" si="14"/>
        <v>39349</v>
      </c>
      <c r="F136" s="163">
        <f t="shared" si="15"/>
        <v>241242</v>
      </c>
      <c r="G136" s="163">
        <f t="shared" si="16"/>
        <v>260916.5</v>
      </c>
      <c r="H136" s="167">
        <f t="shared" si="17"/>
        <v>66154.404521995544</v>
      </c>
      <c r="I136" s="312">
        <f t="shared" si="18"/>
        <v>66154.404521995544</v>
      </c>
      <c r="J136" s="162">
        <f t="shared" si="13"/>
        <v>0</v>
      </c>
      <c r="K136" s="162"/>
      <c r="L136" s="330"/>
      <c r="M136" s="162">
        <f t="shared" si="19"/>
        <v>0</v>
      </c>
      <c r="N136" s="330"/>
      <c r="O136" s="162">
        <f t="shared" si="20"/>
        <v>0</v>
      </c>
      <c r="P136" s="162">
        <f t="shared" si="21"/>
        <v>0</v>
      </c>
    </row>
    <row r="137" spans="2:16">
      <c r="B137" s="9" t="str">
        <f t="shared" si="12"/>
        <v/>
      </c>
      <c r="C137" s="157">
        <f>IF(D93="","-",+C136+1)</f>
        <v>2053</v>
      </c>
      <c r="D137" s="158">
        <f>IF(F136+SUM(E$99:E136)=D$92,F136,D$92-SUM(E$99:E136))</f>
        <v>241242</v>
      </c>
      <c r="E137" s="164">
        <f t="shared" si="14"/>
        <v>39349</v>
      </c>
      <c r="F137" s="163">
        <f t="shared" si="15"/>
        <v>201893</v>
      </c>
      <c r="G137" s="163">
        <f t="shared" si="16"/>
        <v>221567.5</v>
      </c>
      <c r="H137" s="167">
        <f t="shared" si="17"/>
        <v>62111.86270292315</v>
      </c>
      <c r="I137" s="312">
        <f t="shared" si="18"/>
        <v>62111.86270292315</v>
      </c>
      <c r="J137" s="162">
        <f t="shared" si="13"/>
        <v>0</v>
      </c>
      <c r="K137" s="162"/>
      <c r="L137" s="330"/>
      <c r="M137" s="162">
        <f t="shared" si="19"/>
        <v>0</v>
      </c>
      <c r="N137" s="330"/>
      <c r="O137" s="162">
        <f t="shared" si="20"/>
        <v>0</v>
      </c>
      <c r="P137" s="162">
        <f t="shared" si="21"/>
        <v>0</v>
      </c>
    </row>
    <row r="138" spans="2:16">
      <c r="B138" s="9" t="str">
        <f t="shared" si="12"/>
        <v/>
      </c>
      <c r="C138" s="157">
        <f>IF(D93="","-",+C137+1)</f>
        <v>2054</v>
      </c>
      <c r="D138" s="158">
        <f>IF(F137+SUM(E$99:E137)=D$92,F137,D$92-SUM(E$99:E137))</f>
        <v>201893</v>
      </c>
      <c r="E138" s="164">
        <f t="shared" si="14"/>
        <v>39349</v>
      </c>
      <c r="F138" s="163">
        <f t="shared" si="15"/>
        <v>162544</v>
      </c>
      <c r="G138" s="163">
        <f t="shared" si="16"/>
        <v>182218.5</v>
      </c>
      <c r="H138" s="167">
        <f t="shared" si="17"/>
        <v>58069.320883850756</v>
      </c>
      <c r="I138" s="312">
        <f t="shared" si="18"/>
        <v>58069.320883850756</v>
      </c>
      <c r="J138" s="162">
        <f t="shared" si="13"/>
        <v>0</v>
      </c>
      <c r="K138" s="162"/>
      <c r="L138" s="330"/>
      <c r="M138" s="162">
        <f t="shared" si="19"/>
        <v>0</v>
      </c>
      <c r="N138" s="330"/>
      <c r="O138" s="162">
        <f t="shared" si="20"/>
        <v>0</v>
      </c>
      <c r="P138" s="162">
        <f t="shared" si="21"/>
        <v>0</v>
      </c>
    </row>
    <row r="139" spans="2:16">
      <c r="B139" s="9" t="str">
        <f t="shared" si="12"/>
        <v/>
      </c>
      <c r="C139" s="157">
        <f>IF(D93="","-",+C138+1)</f>
        <v>2055</v>
      </c>
      <c r="D139" s="158">
        <f>IF(F138+SUM(E$99:E138)=D$92,F138,D$92-SUM(E$99:E138))</f>
        <v>162544</v>
      </c>
      <c r="E139" s="164">
        <f t="shared" si="14"/>
        <v>39349</v>
      </c>
      <c r="F139" s="163">
        <f t="shared" si="15"/>
        <v>123195</v>
      </c>
      <c r="G139" s="163">
        <f t="shared" si="16"/>
        <v>142869.5</v>
      </c>
      <c r="H139" s="167">
        <f t="shared" si="17"/>
        <v>54026.779064778355</v>
      </c>
      <c r="I139" s="312">
        <f t="shared" si="18"/>
        <v>54026.779064778355</v>
      </c>
      <c r="J139" s="162">
        <f t="shared" si="13"/>
        <v>0</v>
      </c>
      <c r="K139" s="162"/>
      <c r="L139" s="330"/>
      <c r="M139" s="162">
        <f t="shared" si="19"/>
        <v>0</v>
      </c>
      <c r="N139" s="330"/>
      <c r="O139" s="162">
        <f t="shared" si="20"/>
        <v>0</v>
      </c>
      <c r="P139" s="162">
        <f t="shared" si="21"/>
        <v>0</v>
      </c>
    </row>
    <row r="140" spans="2:16">
      <c r="B140" s="9" t="str">
        <f t="shared" si="12"/>
        <v/>
      </c>
      <c r="C140" s="157">
        <f>IF(D93="","-",+C139+1)</f>
        <v>2056</v>
      </c>
      <c r="D140" s="158">
        <f>IF(F139+SUM(E$99:E139)=D$92,F139,D$92-SUM(E$99:E139))</f>
        <v>123195</v>
      </c>
      <c r="E140" s="164">
        <f t="shared" si="14"/>
        <v>39349</v>
      </c>
      <c r="F140" s="163">
        <f t="shared" si="15"/>
        <v>83846</v>
      </c>
      <c r="G140" s="163">
        <f t="shared" si="16"/>
        <v>103520.5</v>
      </c>
      <c r="H140" s="167">
        <f t="shared" si="17"/>
        <v>49984.237245705961</v>
      </c>
      <c r="I140" s="312">
        <f t="shared" si="18"/>
        <v>49984.237245705961</v>
      </c>
      <c r="J140" s="162">
        <f t="shared" si="13"/>
        <v>0</v>
      </c>
      <c r="K140" s="162"/>
      <c r="L140" s="330"/>
      <c r="M140" s="162">
        <f t="shared" si="19"/>
        <v>0</v>
      </c>
      <c r="N140" s="330"/>
      <c r="O140" s="162">
        <f t="shared" si="20"/>
        <v>0</v>
      </c>
      <c r="P140" s="162">
        <f t="shared" si="21"/>
        <v>0</v>
      </c>
    </row>
    <row r="141" spans="2:16">
      <c r="B141" s="9" t="str">
        <f t="shared" si="12"/>
        <v/>
      </c>
      <c r="C141" s="157">
        <f>IF(D93="","-",+C140+1)</f>
        <v>2057</v>
      </c>
      <c r="D141" s="158">
        <f>IF(F140+SUM(E$99:E140)=D$92,F140,D$92-SUM(E$99:E140))</f>
        <v>83846</v>
      </c>
      <c r="E141" s="164">
        <f t="shared" si="14"/>
        <v>39349</v>
      </c>
      <c r="F141" s="163">
        <f t="shared" si="15"/>
        <v>44497</v>
      </c>
      <c r="G141" s="163">
        <f t="shared" si="16"/>
        <v>64171.5</v>
      </c>
      <c r="H141" s="167">
        <f t="shared" si="17"/>
        <v>45941.695426633567</v>
      </c>
      <c r="I141" s="312">
        <f t="shared" si="18"/>
        <v>45941.695426633567</v>
      </c>
      <c r="J141" s="162">
        <f t="shared" si="13"/>
        <v>0</v>
      </c>
      <c r="K141" s="162"/>
      <c r="L141" s="330"/>
      <c r="M141" s="162">
        <f t="shared" si="19"/>
        <v>0</v>
      </c>
      <c r="N141" s="330"/>
      <c r="O141" s="162">
        <f t="shared" si="20"/>
        <v>0</v>
      </c>
      <c r="P141" s="162">
        <f t="shared" si="21"/>
        <v>0</v>
      </c>
    </row>
    <row r="142" spans="2:16">
      <c r="B142" s="9" t="str">
        <f t="shared" si="12"/>
        <v/>
      </c>
      <c r="C142" s="157">
        <f>IF(D93="","-",+C141+1)</f>
        <v>2058</v>
      </c>
      <c r="D142" s="158">
        <f>IF(F141+SUM(E$99:E141)=D$92,F141,D$92-SUM(E$99:E141))</f>
        <v>44497</v>
      </c>
      <c r="E142" s="164">
        <f t="shared" si="14"/>
        <v>39349</v>
      </c>
      <c r="F142" s="163">
        <f t="shared" si="15"/>
        <v>5148</v>
      </c>
      <c r="G142" s="163">
        <f t="shared" si="16"/>
        <v>24822.5</v>
      </c>
      <c r="H142" s="167">
        <f t="shared" si="17"/>
        <v>41899.153607561173</v>
      </c>
      <c r="I142" s="312">
        <f t="shared" si="18"/>
        <v>41899.153607561173</v>
      </c>
      <c r="J142" s="162">
        <f t="shared" si="13"/>
        <v>0</v>
      </c>
      <c r="K142" s="162"/>
      <c r="L142" s="330"/>
      <c r="M142" s="162">
        <f t="shared" si="19"/>
        <v>0</v>
      </c>
      <c r="N142" s="330"/>
      <c r="O142" s="162">
        <f t="shared" si="20"/>
        <v>0</v>
      </c>
      <c r="P142" s="162">
        <f t="shared" si="21"/>
        <v>0</v>
      </c>
    </row>
    <row r="143" spans="2:16">
      <c r="B143" s="9" t="str">
        <f t="shared" si="12"/>
        <v/>
      </c>
      <c r="C143" s="157">
        <f>IF(D93="","-",+C142+1)</f>
        <v>2059</v>
      </c>
      <c r="D143" s="158">
        <f>IF(F142+SUM(E$99:E142)=D$92,F142,D$92-SUM(E$99:E142))</f>
        <v>5148</v>
      </c>
      <c r="E143" s="164">
        <f t="shared" si="14"/>
        <v>5148</v>
      </c>
      <c r="F143" s="163">
        <f t="shared" si="15"/>
        <v>0</v>
      </c>
      <c r="G143" s="163">
        <f t="shared" si="16"/>
        <v>2574</v>
      </c>
      <c r="H143" s="167">
        <f t="shared" si="17"/>
        <v>5412.4413490124871</v>
      </c>
      <c r="I143" s="312">
        <f t="shared" si="18"/>
        <v>5412.4413490124871</v>
      </c>
      <c r="J143" s="162">
        <f t="shared" si="13"/>
        <v>0</v>
      </c>
      <c r="K143" s="162"/>
      <c r="L143" s="330"/>
      <c r="M143" s="162">
        <f t="shared" si="19"/>
        <v>0</v>
      </c>
      <c r="N143" s="330"/>
      <c r="O143" s="162">
        <f t="shared" si="20"/>
        <v>0</v>
      </c>
      <c r="P143" s="162">
        <f t="shared" si="21"/>
        <v>0</v>
      </c>
    </row>
    <row r="144" spans="2:16">
      <c r="B144" s="9" t="str">
        <f t="shared" si="12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4"/>
        <v>0</v>
      </c>
      <c r="F144" s="163">
        <f t="shared" si="15"/>
        <v>0</v>
      </c>
      <c r="G144" s="163">
        <f t="shared" si="16"/>
        <v>0</v>
      </c>
      <c r="H144" s="167">
        <f t="shared" si="17"/>
        <v>0</v>
      </c>
      <c r="I144" s="312">
        <f t="shared" si="18"/>
        <v>0</v>
      </c>
      <c r="J144" s="162">
        <f t="shared" si="13"/>
        <v>0</v>
      </c>
      <c r="K144" s="162"/>
      <c r="L144" s="330"/>
      <c r="M144" s="162">
        <f t="shared" si="19"/>
        <v>0</v>
      </c>
      <c r="N144" s="330"/>
      <c r="O144" s="162">
        <f t="shared" si="20"/>
        <v>0</v>
      </c>
      <c r="P144" s="162">
        <f t="shared" si="21"/>
        <v>0</v>
      </c>
    </row>
    <row r="145" spans="2:16">
      <c r="B145" s="9" t="str">
        <f t="shared" si="12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4"/>
        <v>0</v>
      </c>
      <c r="F145" s="163">
        <f t="shared" si="15"/>
        <v>0</v>
      </c>
      <c r="G145" s="163">
        <f t="shared" si="16"/>
        <v>0</v>
      </c>
      <c r="H145" s="167">
        <f t="shared" si="17"/>
        <v>0</v>
      </c>
      <c r="I145" s="312">
        <f t="shared" si="18"/>
        <v>0</v>
      </c>
      <c r="J145" s="162">
        <f t="shared" si="13"/>
        <v>0</v>
      </c>
      <c r="K145" s="162"/>
      <c r="L145" s="330"/>
      <c r="M145" s="162">
        <f t="shared" si="19"/>
        <v>0</v>
      </c>
      <c r="N145" s="330"/>
      <c r="O145" s="162">
        <f t="shared" si="20"/>
        <v>0</v>
      </c>
      <c r="P145" s="162">
        <f t="shared" si="21"/>
        <v>0</v>
      </c>
    </row>
    <row r="146" spans="2:16">
      <c r="B146" s="9" t="str">
        <f t="shared" si="12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4"/>
        <v>0</v>
      </c>
      <c r="F146" s="163">
        <f t="shared" si="15"/>
        <v>0</v>
      </c>
      <c r="G146" s="163">
        <f t="shared" si="16"/>
        <v>0</v>
      </c>
      <c r="H146" s="167">
        <f t="shared" si="17"/>
        <v>0</v>
      </c>
      <c r="I146" s="312">
        <f t="shared" si="18"/>
        <v>0</v>
      </c>
      <c r="J146" s="162">
        <f t="shared" si="13"/>
        <v>0</v>
      </c>
      <c r="K146" s="162"/>
      <c r="L146" s="330"/>
      <c r="M146" s="162">
        <f t="shared" si="19"/>
        <v>0</v>
      </c>
      <c r="N146" s="330"/>
      <c r="O146" s="162">
        <f t="shared" si="20"/>
        <v>0</v>
      </c>
      <c r="P146" s="162">
        <f t="shared" si="21"/>
        <v>0</v>
      </c>
    </row>
    <row r="147" spans="2:16">
      <c r="B147" s="9" t="str">
        <f t="shared" si="12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4"/>
        <v>0</v>
      </c>
      <c r="F147" s="163">
        <f t="shared" si="15"/>
        <v>0</v>
      </c>
      <c r="G147" s="163">
        <f t="shared" si="16"/>
        <v>0</v>
      </c>
      <c r="H147" s="167">
        <f t="shared" si="17"/>
        <v>0</v>
      </c>
      <c r="I147" s="312">
        <f t="shared" si="18"/>
        <v>0</v>
      </c>
      <c r="J147" s="162">
        <f t="shared" si="13"/>
        <v>0</v>
      </c>
      <c r="K147" s="162"/>
      <c r="L147" s="330"/>
      <c r="M147" s="162">
        <f t="shared" si="19"/>
        <v>0</v>
      </c>
      <c r="N147" s="330"/>
      <c r="O147" s="162">
        <f t="shared" si="20"/>
        <v>0</v>
      </c>
      <c r="P147" s="162">
        <f t="shared" si="21"/>
        <v>0</v>
      </c>
    </row>
    <row r="148" spans="2:16">
      <c r="B148" s="9" t="str">
        <f t="shared" si="12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4"/>
        <v>0</v>
      </c>
      <c r="F148" s="163">
        <f t="shared" si="15"/>
        <v>0</v>
      </c>
      <c r="G148" s="163">
        <f t="shared" si="16"/>
        <v>0</v>
      </c>
      <c r="H148" s="167">
        <f t="shared" si="17"/>
        <v>0</v>
      </c>
      <c r="I148" s="312">
        <f t="shared" si="18"/>
        <v>0</v>
      </c>
      <c r="J148" s="162">
        <f t="shared" si="13"/>
        <v>0</v>
      </c>
      <c r="K148" s="162"/>
      <c r="L148" s="330"/>
      <c r="M148" s="162">
        <f t="shared" si="19"/>
        <v>0</v>
      </c>
      <c r="N148" s="330"/>
      <c r="O148" s="162">
        <f t="shared" si="20"/>
        <v>0</v>
      </c>
      <c r="P148" s="162">
        <f t="shared" si="21"/>
        <v>0</v>
      </c>
    </row>
    <row r="149" spans="2:16">
      <c r="B149" s="9" t="str">
        <f t="shared" si="12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4"/>
        <v>0</v>
      </c>
      <c r="F149" s="163">
        <f t="shared" si="15"/>
        <v>0</v>
      </c>
      <c r="G149" s="163">
        <f t="shared" si="16"/>
        <v>0</v>
      </c>
      <c r="H149" s="167">
        <f t="shared" si="17"/>
        <v>0</v>
      </c>
      <c r="I149" s="312">
        <f t="shared" si="18"/>
        <v>0</v>
      </c>
      <c r="J149" s="162">
        <f t="shared" si="13"/>
        <v>0</v>
      </c>
      <c r="K149" s="162"/>
      <c r="L149" s="330"/>
      <c r="M149" s="162">
        <f t="shared" si="19"/>
        <v>0</v>
      </c>
      <c r="N149" s="330"/>
      <c r="O149" s="162">
        <f t="shared" si="20"/>
        <v>0</v>
      </c>
      <c r="P149" s="162">
        <f t="shared" si="21"/>
        <v>0</v>
      </c>
    </row>
    <row r="150" spans="2:16">
      <c r="B150" s="9" t="str">
        <f t="shared" si="12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4"/>
        <v>0</v>
      </c>
      <c r="F150" s="163">
        <f t="shared" si="15"/>
        <v>0</v>
      </c>
      <c r="G150" s="163">
        <f t="shared" si="16"/>
        <v>0</v>
      </c>
      <c r="H150" s="167">
        <f t="shared" si="17"/>
        <v>0</v>
      </c>
      <c r="I150" s="312">
        <f t="shared" si="18"/>
        <v>0</v>
      </c>
      <c r="J150" s="162">
        <f t="shared" si="13"/>
        <v>0</v>
      </c>
      <c r="K150" s="162"/>
      <c r="L150" s="330"/>
      <c r="M150" s="162">
        <f t="shared" si="19"/>
        <v>0</v>
      </c>
      <c r="N150" s="330"/>
      <c r="O150" s="162">
        <f t="shared" si="20"/>
        <v>0</v>
      </c>
      <c r="P150" s="162">
        <f t="shared" si="21"/>
        <v>0</v>
      </c>
    </row>
    <row r="151" spans="2:16">
      <c r="B151" s="9" t="str">
        <f t="shared" si="12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4"/>
        <v>0</v>
      </c>
      <c r="F151" s="163">
        <f t="shared" si="15"/>
        <v>0</v>
      </c>
      <c r="G151" s="163">
        <f t="shared" si="16"/>
        <v>0</v>
      </c>
      <c r="H151" s="167">
        <f t="shared" si="17"/>
        <v>0</v>
      </c>
      <c r="I151" s="312">
        <f t="shared" si="18"/>
        <v>0</v>
      </c>
      <c r="J151" s="162">
        <f t="shared" si="13"/>
        <v>0</v>
      </c>
      <c r="K151" s="162"/>
      <c r="L151" s="330"/>
      <c r="M151" s="162">
        <f t="shared" si="19"/>
        <v>0</v>
      </c>
      <c r="N151" s="330"/>
      <c r="O151" s="162">
        <f t="shared" si="20"/>
        <v>0</v>
      </c>
      <c r="P151" s="162">
        <f t="shared" si="21"/>
        <v>0</v>
      </c>
    </row>
    <row r="152" spans="2:16">
      <c r="B152" s="9" t="str">
        <f t="shared" si="12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4"/>
        <v>0</v>
      </c>
      <c r="F152" s="163">
        <f t="shared" si="15"/>
        <v>0</v>
      </c>
      <c r="G152" s="163">
        <f t="shared" si="16"/>
        <v>0</v>
      </c>
      <c r="H152" s="167">
        <f t="shared" si="17"/>
        <v>0</v>
      </c>
      <c r="I152" s="312">
        <f t="shared" si="18"/>
        <v>0</v>
      </c>
      <c r="J152" s="162">
        <f t="shared" si="13"/>
        <v>0</v>
      </c>
      <c r="K152" s="162"/>
      <c r="L152" s="330"/>
      <c r="M152" s="162">
        <f t="shared" si="19"/>
        <v>0</v>
      </c>
      <c r="N152" s="330"/>
      <c r="O152" s="162">
        <f t="shared" si="20"/>
        <v>0</v>
      </c>
      <c r="P152" s="162">
        <f t="shared" si="21"/>
        <v>0</v>
      </c>
    </row>
    <row r="153" spans="2:16">
      <c r="B153" s="9" t="str">
        <f t="shared" si="12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4"/>
        <v>0</v>
      </c>
      <c r="F153" s="163">
        <f t="shared" si="15"/>
        <v>0</v>
      </c>
      <c r="G153" s="163">
        <f t="shared" si="16"/>
        <v>0</v>
      </c>
      <c r="H153" s="167">
        <f t="shared" si="17"/>
        <v>0</v>
      </c>
      <c r="I153" s="312">
        <f t="shared" si="18"/>
        <v>0</v>
      </c>
      <c r="J153" s="162">
        <f t="shared" si="13"/>
        <v>0</v>
      </c>
      <c r="K153" s="162"/>
      <c r="L153" s="330"/>
      <c r="M153" s="162">
        <f t="shared" si="19"/>
        <v>0</v>
      </c>
      <c r="N153" s="330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12"/>
        <v/>
      </c>
      <c r="C154" s="168">
        <f>IF(D93="","-",+C153+1)</f>
        <v>2070</v>
      </c>
      <c r="D154" s="383">
        <f>IF(F153+SUM(E$99:E153)=D$92,F153,D$92-SUM(E$99:E153))</f>
        <v>0</v>
      </c>
      <c r="E154" s="170">
        <f t="shared" si="14"/>
        <v>0</v>
      </c>
      <c r="F154" s="169">
        <f t="shared" si="15"/>
        <v>0</v>
      </c>
      <c r="G154" s="169">
        <f t="shared" si="16"/>
        <v>0</v>
      </c>
      <c r="H154" s="171">
        <f t="shared" si="17"/>
        <v>0</v>
      </c>
      <c r="I154" s="313">
        <f t="shared" si="18"/>
        <v>0</v>
      </c>
      <c r="J154" s="173">
        <f t="shared" si="13"/>
        <v>0</v>
      </c>
      <c r="K154" s="162"/>
      <c r="L154" s="331"/>
      <c r="M154" s="173">
        <f t="shared" si="19"/>
        <v>0</v>
      </c>
      <c r="N154" s="331"/>
      <c r="O154" s="173">
        <f t="shared" si="20"/>
        <v>0</v>
      </c>
      <c r="P154" s="173">
        <f t="shared" si="21"/>
        <v>0</v>
      </c>
    </row>
    <row r="155" spans="2:16">
      <c r="C155" s="158" t="s">
        <v>77</v>
      </c>
      <c r="D155" s="115"/>
      <c r="E155" s="115">
        <f>SUM(E99:E154)</f>
        <v>1692023</v>
      </c>
      <c r="F155" s="115"/>
      <c r="G155" s="115"/>
      <c r="H155" s="115">
        <f>SUM(H99:H154)</f>
        <v>5646002.5884207971</v>
      </c>
      <c r="I155" s="115">
        <f>SUM(I99:I154)</f>
        <v>5646002.5884207971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view="pageBreakPreview" zoomScale="80" zoomScaleNormal="100" zoomScaleSheetLayoutView="80" workbookViewId="0">
      <selection activeCell="D21" sqref="D21:H2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18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249645.70777777777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249645.70777777777</v>
      </c>
      <c r="O6" s="1"/>
      <c r="P6" s="1"/>
    </row>
    <row r="7" spans="1:16" ht="13.5" thickBot="1">
      <c r="C7" s="127" t="s">
        <v>46</v>
      </c>
      <c r="D7" s="227" t="s">
        <v>266</v>
      </c>
      <c r="E7" s="385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422" t="s">
        <v>269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273</v>
      </c>
      <c r="E9" s="406" t="s">
        <v>262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1725646.85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2014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4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38347.707777777781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2014</v>
      </c>
      <c r="D17" s="399">
        <v>1725646.85</v>
      </c>
      <c r="E17" s="423">
        <v>22123.677564102563</v>
      </c>
      <c r="F17" s="399">
        <v>1703523.1724358976</v>
      </c>
      <c r="G17" s="423">
        <v>256628.57821434946</v>
      </c>
      <c r="H17" s="404">
        <v>256628.57821434946</v>
      </c>
      <c r="I17" s="160">
        <v>0</v>
      </c>
      <c r="J17" s="160"/>
      <c r="K17" s="333">
        <f>G17</f>
        <v>256628.57821434946</v>
      </c>
      <c r="L17" s="417">
        <f>IF(K17&lt;&gt;0,+G17-K17,0)</f>
        <v>0</v>
      </c>
      <c r="M17" s="333">
        <f>H17</f>
        <v>256628.57821434946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399">
        <v>1703523.1724358976</v>
      </c>
      <c r="E18" s="400">
        <v>33185.516346153847</v>
      </c>
      <c r="F18" s="399">
        <v>1670337.6560897438</v>
      </c>
      <c r="G18" s="400">
        <v>263477.7363505594</v>
      </c>
      <c r="H18" s="404">
        <v>263477.7363505594</v>
      </c>
      <c r="I18" s="160">
        <v>0</v>
      </c>
      <c r="J18" s="160"/>
      <c r="K18" s="333">
        <f>G18</f>
        <v>263477.7363505594</v>
      </c>
      <c r="L18" s="417">
        <f>IF(K18&lt;&gt;0,+G18-K18,0)</f>
        <v>0</v>
      </c>
      <c r="M18" s="333">
        <f>H18</f>
        <v>263477.7363505594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2016</v>
      </c>
      <c r="D19" s="399">
        <v>1670337.6560897438</v>
      </c>
      <c r="E19" s="400">
        <v>33185.516346153847</v>
      </c>
      <c r="F19" s="399">
        <v>1637152.13974359</v>
      </c>
      <c r="G19" s="400">
        <v>247913.51634615386</v>
      </c>
      <c r="H19" s="404">
        <v>247913.51634615386</v>
      </c>
      <c r="I19" s="160">
        <f>H19-G19</f>
        <v>0</v>
      </c>
      <c r="J19" s="160"/>
      <c r="K19" s="333">
        <f>G19</f>
        <v>247913.51634615386</v>
      </c>
      <c r="L19" s="417">
        <f>IF(K19&lt;&gt;0,+G19-K19,0)</f>
        <v>0</v>
      </c>
      <c r="M19" s="333">
        <f>H19</f>
        <v>247913.51634615386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>IU</v>
      </c>
      <c r="C20" s="157">
        <f>IF(D11="","-",+C19+1)</f>
        <v>2017</v>
      </c>
      <c r="D20" s="399">
        <v>1637152</v>
      </c>
      <c r="E20" s="400">
        <v>37514</v>
      </c>
      <c r="F20" s="399">
        <v>1599638</v>
      </c>
      <c r="G20" s="400">
        <v>241085</v>
      </c>
      <c r="H20" s="404">
        <v>241085</v>
      </c>
      <c r="I20" s="160">
        <f t="shared" ref="I20:I72" si="1">H20-G20</f>
        <v>0</v>
      </c>
      <c r="J20" s="160"/>
      <c r="K20" s="333">
        <f>G20</f>
        <v>241085</v>
      </c>
      <c r="L20" s="417">
        <f>IF(K20&lt;&gt;0,+G20-K20,0)</f>
        <v>0</v>
      </c>
      <c r="M20" s="333">
        <f>H20</f>
        <v>241085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>IU</v>
      </c>
      <c r="C21" s="157">
        <f>IF(D11="","-",+C20+1)</f>
        <v>2018</v>
      </c>
      <c r="D21" s="399">
        <v>1599638.0777870682</v>
      </c>
      <c r="E21" s="400">
        <v>38347.707777777781</v>
      </c>
      <c r="F21" s="399">
        <v>1561290.3700092905</v>
      </c>
      <c r="G21" s="400">
        <v>249645.70777777777</v>
      </c>
      <c r="H21" s="404">
        <v>249645.70777777777</v>
      </c>
      <c r="I21" s="160">
        <f t="shared" si="1"/>
        <v>0</v>
      </c>
      <c r="J21" s="160"/>
      <c r="K21" s="333">
        <f>G21</f>
        <v>249645.70777777777</v>
      </c>
      <c r="L21" s="417">
        <f>IF(K21&lt;&gt;0,+G21-K21,0)</f>
        <v>0</v>
      </c>
      <c r="M21" s="333">
        <f>H21</f>
        <v>249645.70777777777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>IU</v>
      </c>
      <c r="C22" s="157">
        <f>IF(D11="","-",+C21+1)</f>
        <v>2019</v>
      </c>
      <c r="D22" s="163">
        <f>IF(F21+SUM(E$17:E21)=D$10,F21,D$10-SUM(E$17:E21))</f>
        <v>1561290.4319658121</v>
      </c>
      <c r="E22" s="164">
        <f t="shared" ref="E22:E72" si="2">IF(+$I$14&lt;F21,$I$14,D22)</f>
        <v>38347.707777777781</v>
      </c>
      <c r="F22" s="163">
        <f t="shared" ref="F22:F72" si="3">+D22-E22</f>
        <v>1522942.7241880344</v>
      </c>
      <c r="G22" s="165">
        <f t="shared" ref="G22:G72" si="4">ROUND(I$12*F22,0)+E22</f>
        <v>244455.70777777777</v>
      </c>
      <c r="H22" s="147">
        <f t="shared" ref="H22:H72" si="5">ROUND(I$13*F22,0)+E22</f>
        <v>244455.70777777777</v>
      </c>
      <c r="I22" s="160">
        <f t="shared" si="1"/>
        <v>0</v>
      </c>
      <c r="J22" s="160"/>
      <c r="K22" s="330"/>
      <c r="L22" s="162">
        <f t="shared" ref="L22:L72" si="6">IF(K22&lt;&gt;0,+G22-K22,0)</f>
        <v>0</v>
      </c>
      <c r="M22" s="330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2020</v>
      </c>
      <c r="D23" s="163">
        <f>IF(F22+SUM(E$17:E22)=D$10,F22,D$10-SUM(E$17:E22))</f>
        <v>1522942.7241880344</v>
      </c>
      <c r="E23" s="164">
        <f t="shared" si="2"/>
        <v>38347.707777777781</v>
      </c>
      <c r="F23" s="163">
        <f t="shared" si="3"/>
        <v>1484595.0164102567</v>
      </c>
      <c r="G23" s="165">
        <f t="shared" si="4"/>
        <v>239265.70777777777</v>
      </c>
      <c r="H23" s="147">
        <f t="shared" si="5"/>
        <v>239265.70777777777</v>
      </c>
      <c r="I23" s="160">
        <f t="shared" si="1"/>
        <v>0</v>
      </c>
      <c r="J23" s="160"/>
      <c r="K23" s="330"/>
      <c r="L23" s="162">
        <f t="shared" si="6"/>
        <v>0</v>
      </c>
      <c r="M23" s="330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2021</v>
      </c>
      <c r="D24" s="163">
        <f>IF(F23+SUM(E$17:E23)=D$10,F23,D$10-SUM(E$17:E23))</f>
        <v>1484595.0164102567</v>
      </c>
      <c r="E24" s="164">
        <f t="shared" si="2"/>
        <v>38347.707777777781</v>
      </c>
      <c r="F24" s="163">
        <f t="shared" si="3"/>
        <v>1446247.308632479</v>
      </c>
      <c r="G24" s="165">
        <f t="shared" si="4"/>
        <v>234075.70777777777</v>
      </c>
      <c r="H24" s="147">
        <f t="shared" si="5"/>
        <v>234075.70777777777</v>
      </c>
      <c r="I24" s="160">
        <f t="shared" si="1"/>
        <v>0</v>
      </c>
      <c r="J24" s="160"/>
      <c r="K24" s="330"/>
      <c r="L24" s="162">
        <f t="shared" si="6"/>
        <v>0</v>
      </c>
      <c r="M24" s="330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2022</v>
      </c>
      <c r="D25" s="163">
        <f>IF(F24+SUM(E$17:E24)=D$10,F24,D$10-SUM(E$17:E24))</f>
        <v>1446247.308632479</v>
      </c>
      <c r="E25" s="164">
        <f t="shared" si="2"/>
        <v>38347.707777777781</v>
      </c>
      <c r="F25" s="163">
        <f t="shared" si="3"/>
        <v>1407899.6008547014</v>
      </c>
      <c r="G25" s="165">
        <f t="shared" si="4"/>
        <v>228886.70777777777</v>
      </c>
      <c r="H25" s="147">
        <f t="shared" si="5"/>
        <v>228886.70777777777</v>
      </c>
      <c r="I25" s="160">
        <f t="shared" si="1"/>
        <v>0</v>
      </c>
      <c r="J25" s="160"/>
      <c r="K25" s="330"/>
      <c r="L25" s="162">
        <f t="shared" si="6"/>
        <v>0</v>
      </c>
      <c r="M25" s="330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2023</v>
      </c>
      <c r="D26" s="163">
        <f>IF(F25+SUM(E$17:E25)=D$10,F25,D$10-SUM(E$17:E25))</f>
        <v>1407899.6008547014</v>
      </c>
      <c r="E26" s="164">
        <f t="shared" si="2"/>
        <v>38347.707777777781</v>
      </c>
      <c r="F26" s="163">
        <f t="shared" si="3"/>
        <v>1369551.8930769237</v>
      </c>
      <c r="G26" s="165">
        <f t="shared" si="4"/>
        <v>223696.70777777777</v>
      </c>
      <c r="H26" s="147">
        <f t="shared" si="5"/>
        <v>223696.70777777777</v>
      </c>
      <c r="I26" s="160">
        <f t="shared" si="1"/>
        <v>0</v>
      </c>
      <c r="J26" s="160"/>
      <c r="K26" s="330"/>
      <c r="L26" s="162">
        <f t="shared" si="6"/>
        <v>0</v>
      </c>
      <c r="M26" s="330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2024</v>
      </c>
      <c r="D27" s="163">
        <f>IF(F26+SUM(E$17:E26)=D$10,F26,D$10-SUM(E$17:E26))</f>
        <v>1369551.8930769237</v>
      </c>
      <c r="E27" s="164">
        <f t="shared" si="2"/>
        <v>38347.707777777781</v>
      </c>
      <c r="F27" s="163">
        <f t="shared" si="3"/>
        <v>1331204.185299146</v>
      </c>
      <c r="G27" s="165">
        <f t="shared" si="4"/>
        <v>218506.70777777777</v>
      </c>
      <c r="H27" s="147">
        <f t="shared" si="5"/>
        <v>218506.70777777777</v>
      </c>
      <c r="I27" s="160">
        <f t="shared" si="1"/>
        <v>0</v>
      </c>
      <c r="J27" s="160"/>
      <c r="K27" s="330"/>
      <c r="L27" s="162">
        <f t="shared" si="6"/>
        <v>0</v>
      </c>
      <c r="M27" s="330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2025</v>
      </c>
      <c r="D28" s="163">
        <f>IF(F27+SUM(E$17:E27)=D$10,F27,D$10-SUM(E$17:E27))</f>
        <v>1331204.185299146</v>
      </c>
      <c r="E28" s="164">
        <f t="shared" si="2"/>
        <v>38347.707777777781</v>
      </c>
      <c r="F28" s="163">
        <f t="shared" si="3"/>
        <v>1292856.4775213683</v>
      </c>
      <c r="G28" s="165">
        <f t="shared" si="4"/>
        <v>213316.70777777777</v>
      </c>
      <c r="H28" s="147">
        <f t="shared" si="5"/>
        <v>213316.70777777777</v>
      </c>
      <c r="I28" s="160">
        <f t="shared" si="1"/>
        <v>0</v>
      </c>
      <c r="J28" s="160"/>
      <c r="K28" s="330"/>
      <c r="L28" s="162">
        <f t="shared" si="6"/>
        <v>0</v>
      </c>
      <c r="M28" s="330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2026</v>
      </c>
      <c r="D29" s="163">
        <f>IF(F28+SUM(E$17:E28)=D$10,F28,D$10-SUM(E$17:E28))</f>
        <v>1292856.4775213683</v>
      </c>
      <c r="E29" s="164">
        <f t="shared" si="2"/>
        <v>38347.707777777781</v>
      </c>
      <c r="F29" s="163">
        <f t="shared" si="3"/>
        <v>1254508.7697435906</v>
      </c>
      <c r="G29" s="165">
        <f t="shared" si="4"/>
        <v>208126.70777777777</v>
      </c>
      <c r="H29" s="147">
        <f t="shared" si="5"/>
        <v>208126.70777777777</v>
      </c>
      <c r="I29" s="160">
        <f t="shared" si="1"/>
        <v>0</v>
      </c>
      <c r="J29" s="160"/>
      <c r="K29" s="330"/>
      <c r="L29" s="162">
        <f t="shared" si="6"/>
        <v>0</v>
      </c>
      <c r="M29" s="330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2027</v>
      </c>
      <c r="D30" s="163">
        <f>IF(F29+SUM(E$17:E29)=D$10,F29,D$10-SUM(E$17:E29))</f>
        <v>1254508.7697435906</v>
      </c>
      <c r="E30" s="164">
        <f t="shared" si="2"/>
        <v>38347.707777777781</v>
      </c>
      <c r="F30" s="163">
        <f t="shared" si="3"/>
        <v>1216161.0619658129</v>
      </c>
      <c r="G30" s="165">
        <f t="shared" si="4"/>
        <v>202937.70777777777</v>
      </c>
      <c r="H30" s="147">
        <f t="shared" si="5"/>
        <v>202937.70777777777</v>
      </c>
      <c r="I30" s="160">
        <f t="shared" si="1"/>
        <v>0</v>
      </c>
      <c r="J30" s="160"/>
      <c r="K30" s="330"/>
      <c r="L30" s="162">
        <f t="shared" si="6"/>
        <v>0</v>
      </c>
      <c r="M30" s="330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2028</v>
      </c>
      <c r="D31" s="163">
        <f>IF(F30+SUM(E$17:E30)=D$10,F30,D$10-SUM(E$17:E30))</f>
        <v>1216161.0619658129</v>
      </c>
      <c r="E31" s="164">
        <f t="shared" si="2"/>
        <v>38347.707777777781</v>
      </c>
      <c r="F31" s="163">
        <f t="shared" si="3"/>
        <v>1177813.3541880352</v>
      </c>
      <c r="G31" s="165">
        <f t="shared" si="4"/>
        <v>197747.70777777777</v>
      </c>
      <c r="H31" s="147">
        <f t="shared" si="5"/>
        <v>197747.70777777777</v>
      </c>
      <c r="I31" s="160">
        <f t="shared" si="1"/>
        <v>0</v>
      </c>
      <c r="J31" s="160"/>
      <c r="K31" s="330"/>
      <c r="L31" s="162">
        <f t="shared" si="6"/>
        <v>0</v>
      </c>
      <c r="M31" s="330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2029</v>
      </c>
      <c r="D32" s="163">
        <f>IF(F31+SUM(E$17:E31)=D$10,F31,D$10-SUM(E$17:E31))</f>
        <v>1177813.3541880352</v>
      </c>
      <c r="E32" s="164">
        <f t="shared" si="2"/>
        <v>38347.707777777781</v>
      </c>
      <c r="F32" s="163">
        <f t="shared" si="3"/>
        <v>1139465.6464102576</v>
      </c>
      <c r="G32" s="165">
        <f t="shared" si="4"/>
        <v>192557.70777777777</v>
      </c>
      <c r="H32" s="147">
        <f t="shared" si="5"/>
        <v>192557.70777777777</v>
      </c>
      <c r="I32" s="160">
        <f t="shared" si="1"/>
        <v>0</v>
      </c>
      <c r="J32" s="160"/>
      <c r="K32" s="330"/>
      <c r="L32" s="162">
        <f t="shared" si="6"/>
        <v>0</v>
      </c>
      <c r="M32" s="330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2030</v>
      </c>
      <c r="D33" s="163">
        <f>IF(F32+SUM(E$17:E32)=D$10,F32,D$10-SUM(E$17:E32))</f>
        <v>1139465.6464102576</v>
      </c>
      <c r="E33" s="164">
        <f t="shared" si="2"/>
        <v>38347.707777777781</v>
      </c>
      <c r="F33" s="163">
        <f t="shared" si="3"/>
        <v>1101117.9386324799</v>
      </c>
      <c r="G33" s="165">
        <f t="shared" si="4"/>
        <v>187367.70777777777</v>
      </c>
      <c r="H33" s="147">
        <f t="shared" si="5"/>
        <v>187367.70777777777</v>
      </c>
      <c r="I33" s="160">
        <f t="shared" si="1"/>
        <v>0</v>
      </c>
      <c r="J33" s="160"/>
      <c r="K33" s="330"/>
      <c r="L33" s="162">
        <f t="shared" si="6"/>
        <v>0</v>
      </c>
      <c r="M33" s="330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2031</v>
      </c>
      <c r="D34" s="163">
        <f>IF(F33+SUM(E$17:E33)=D$10,F33,D$10-SUM(E$17:E33))</f>
        <v>1101117.9386324799</v>
      </c>
      <c r="E34" s="164">
        <f t="shared" si="2"/>
        <v>38347.707777777781</v>
      </c>
      <c r="F34" s="163">
        <f t="shared" si="3"/>
        <v>1062770.2308547022</v>
      </c>
      <c r="G34" s="165">
        <f t="shared" si="4"/>
        <v>182177.70777777777</v>
      </c>
      <c r="H34" s="147">
        <f t="shared" si="5"/>
        <v>182177.70777777777</v>
      </c>
      <c r="I34" s="160">
        <f t="shared" si="1"/>
        <v>0</v>
      </c>
      <c r="J34" s="160"/>
      <c r="K34" s="330"/>
      <c r="L34" s="162">
        <f t="shared" si="6"/>
        <v>0</v>
      </c>
      <c r="M34" s="330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2032</v>
      </c>
      <c r="D35" s="163">
        <f>IF(F34+SUM(E$17:E34)=D$10,F34,D$10-SUM(E$17:E34))</f>
        <v>1062770.2308547022</v>
      </c>
      <c r="E35" s="164">
        <f t="shared" si="2"/>
        <v>38347.707777777781</v>
      </c>
      <c r="F35" s="163">
        <f t="shared" si="3"/>
        <v>1024422.5230769244</v>
      </c>
      <c r="G35" s="165">
        <f t="shared" si="4"/>
        <v>176988.70777777777</v>
      </c>
      <c r="H35" s="147">
        <f t="shared" si="5"/>
        <v>176988.70777777777</v>
      </c>
      <c r="I35" s="160">
        <f t="shared" si="1"/>
        <v>0</v>
      </c>
      <c r="J35" s="160"/>
      <c r="K35" s="330"/>
      <c r="L35" s="162">
        <f t="shared" si="6"/>
        <v>0</v>
      </c>
      <c r="M35" s="330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2033</v>
      </c>
      <c r="D36" s="163">
        <f>IF(F35+SUM(E$17:E35)=D$10,F35,D$10-SUM(E$17:E35))</f>
        <v>1024422.5230769244</v>
      </c>
      <c r="E36" s="164">
        <f t="shared" si="2"/>
        <v>38347.707777777781</v>
      </c>
      <c r="F36" s="163">
        <f t="shared" si="3"/>
        <v>986074.81529914658</v>
      </c>
      <c r="G36" s="165">
        <f t="shared" si="4"/>
        <v>171798.70777777777</v>
      </c>
      <c r="H36" s="147">
        <f t="shared" si="5"/>
        <v>171798.70777777777</v>
      </c>
      <c r="I36" s="160">
        <f t="shared" si="1"/>
        <v>0</v>
      </c>
      <c r="J36" s="160"/>
      <c r="K36" s="330"/>
      <c r="L36" s="162">
        <f t="shared" si="6"/>
        <v>0</v>
      </c>
      <c r="M36" s="330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2034</v>
      </c>
      <c r="D37" s="163">
        <f>IF(F36+SUM(E$17:E36)=D$10,F36,D$10-SUM(E$17:E36))</f>
        <v>986074.81529914658</v>
      </c>
      <c r="E37" s="164">
        <f t="shared" si="2"/>
        <v>38347.707777777781</v>
      </c>
      <c r="F37" s="163">
        <f t="shared" si="3"/>
        <v>947727.10752136877</v>
      </c>
      <c r="G37" s="165">
        <f t="shared" si="4"/>
        <v>166608.70777777777</v>
      </c>
      <c r="H37" s="147">
        <f t="shared" si="5"/>
        <v>166608.70777777777</v>
      </c>
      <c r="I37" s="160">
        <f t="shared" si="1"/>
        <v>0</v>
      </c>
      <c r="J37" s="160"/>
      <c r="K37" s="330"/>
      <c r="L37" s="162">
        <f t="shared" si="6"/>
        <v>0</v>
      </c>
      <c r="M37" s="330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2035</v>
      </c>
      <c r="D38" s="163">
        <f>IF(F37+SUM(E$17:E37)=D$10,F37,D$10-SUM(E$17:E37))</f>
        <v>947727.10752136877</v>
      </c>
      <c r="E38" s="164">
        <f t="shared" si="2"/>
        <v>38347.707777777781</v>
      </c>
      <c r="F38" s="163">
        <f t="shared" si="3"/>
        <v>909379.39974359097</v>
      </c>
      <c r="G38" s="165">
        <f t="shared" si="4"/>
        <v>161418.70777777777</v>
      </c>
      <c r="H38" s="147">
        <f t="shared" si="5"/>
        <v>161418.70777777777</v>
      </c>
      <c r="I38" s="160">
        <f t="shared" si="1"/>
        <v>0</v>
      </c>
      <c r="J38" s="160"/>
      <c r="K38" s="330"/>
      <c r="L38" s="162">
        <f t="shared" si="6"/>
        <v>0</v>
      </c>
      <c r="M38" s="330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2036</v>
      </c>
      <c r="D39" s="163">
        <f>IF(F38+SUM(E$17:E38)=D$10,F38,D$10-SUM(E$17:E38))</f>
        <v>909379.39974359097</v>
      </c>
      <c r="E39" s="164">
        <f t="shared" si="2"/>
        <v>38347.707777777781</v>
      </c>
      <c r="F39" s="163">
        <f t="shared" si="3"/>
        <v>871031.69196581317</v>
      </c>
      <c r="G39" s="165">
        <f t="shared" si="4"/>
        <v>156228.70777777777</v>
      </c>
      <c r="H39" s="147">
        <f t="shared" si="5"/>
        <v>156228.70777777777</v>
      </c>
      <c r="I39" s="160">
        <f t="shared" si="1"/>
        <v>0</v>
      </c>
      <c r="J39" s="160"/>
      <c r="K39" s="330"/>
      <c r="L39" s="162">
        <f t="shared" si="6"/>
        <v>0</v>
      </c>
      <c r="M39" s="330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2037</v>
      </c>
      <c r="D40" s="163">
        <f>IF(F39+SUM(E$17:E39)=D$10,F39,D$10-SUM(E$17:E39))</f>
        <v>871031.69196581317</v>
      </c>
      <c r="E40" s="164">
        <f t="shared" si="2"/>
        <v>38347.707777777781</v>
      </c>
      <c r="F40" s="163">
        <f t="shared" si="3"/>
        <v>832683.98418803536</v>
      </c>
      <c r="G40" s="165">
        <f t="shared" si="4"/>
        <v>151039.70777777777</v>
      </c>
      <c r="H40" s="147">
        <f t="shared" si="5"/>
        <v>151039.70777777777</v>
      </c>
      <c r="I40" s="160">
        <f t="shared" si="1"/>
        <v>0</v>
      </c>
      <c r="J40" s="160"/>
      <c r="K40" s="330"/>
      <c r="L40" s="162">
        <f t="shared" si="6"/>
        <v>0</v>
      </c>
      <c r="M40" s="330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2038</v>
      </c>
      <c r="D41" s="163">
        <f>IF(F40+SUM(E$17:E40)=D$10,F40,D$10-SUM(E$17:E40))</f>
        <v>832683.98418803536</v>
      </c>
      <c r="E41" s="164">
        <f t="shared" si="2"/>
        <v>38347.707777777781</v>
      </c>
      <c r="F41" s="163">
        <f t="shared" si="3"/>
        <v>794336.27641025756</v>
      </c>
      <c r="G41" s="165">
        <f t="shared" si="4"/>
        <v>145849.70777777777</v>
      </c>
      <c r="H41" s="147">
        <f t="shared" si="5"/>
        <v>145849.70777777777</v>
      </c>
      <c r="I41" s="160">
        <f t="shared" si="1"/>
        <v>0</v>
      </c>
      <c r="J41" s="160"/>
      <c r="K41" s="330"/>
      <c r="L41" s="162">
        <f t="shared" si="6"/>
        <v>0</v>
      </c>
      <c r="M41" s="330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2039</v>
      </c>
      <c r="D42" s="163">
        <f>IF(F41+SUM(E$17:E41)=D$10,F41,D$10-SUM(E$17:E41))</f>
        <v>794336.27641025756</v>
      </c>
      <c r="E42" s="164">
        <f t="shared" si="2"/>
        <v>38347.707777777781</v>
      </c>
      <c r="F42" s="163">
        <f t="shared" si="3"/>
        <v>755988.56863247976</v>
      </c>
      <c r="G42" s="165">
        <f t="shared" si="4"/>
        <v>140659.70777777777</v>
      </c>
      <c r="H42" s="147">
        <f t="shared" si="5"/>
        <v>140659.70777777777</v>
      </c>
      <c r="I42" s="160">
        <f t="shared" si="1"/>
        <v>0</v>
      </c>
      <c r="J42" s="160"/>
      <c r="K42" s="330"/>
      <c r="L42" s="162">
        <f t="shared" si="6"/>
        <v>0</v>
      </c>
      <c r="M42" s="330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2040</v>
      </c>
      <c r="D43" s="163">
        <f>IF(F42+SUM(E$17:E42)=D$10,F42,D$10-SUM(E$17:E42))</f>
        <v>755988.56863247976</v>
      </c>
      <c r="E43" s="164">
        <f t="shared" si="2"/>
        <v>38347.707777777781</v>
      </c>
      <c r="F43" s="163">
        <f t="shared" si="3"/>
        <v>717640.86085470195</v>
      </c>
      <c r="G43" s="165">
        <f t="shared" si="4"/>
        <v>135469.70777777777</v>
      </c>
      <c r="H43" s="147">
        <f t="shared" si="5"/>
        <v>135469.70777777777</v>
      </c>
      <c r="I43" s="160">
        <f t="shared" si="1"/>
        <v>0</v>
      </c>
      <c r="J43" s="160"/>
      <c r="K43" s="330"/>
      <c r="L43" s="162">
        <f t="shared" si="6"/>
        <v>0</v>
      </c>
      <c r="M43" s="330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2041</v>
      </c>
      <c r="D44" s="163">
        <f>IF(F43+SUM(E$17:E43)=D$10,F43,D$10-SUM(E$17:E43))</f>
        <v>717640.86085470195</v>
      </c>
      <c r="E44" s="164">
        <f t="shared" si="2"/>
        <v>38347.707777777781</v>
      </c>
      <c r="F44" s="163">
        <f t="shared" si="3"/>
        <v>679293.15307692415</v>
      </c>
      <c r="G44" s="165">
        <f t="shared" si="4"/>
        <v>130279.70777777777</v>
      </c>
      <c r="H44" s="147">
        <f t="shared" si="5"/>
        <v>130279.70777777777</v>
      </c>
      <c r="I44" s="160">
        <f t="shared" si="1"/>
        <v>0</v>
      </c>
      <c r="J44" s="160"/>
      <c r="K44" s="330"/>
      <c r="L44" s="162">
        <f t="shared" si="6"/>
        <v>0</v>
      </c>
      <c r="M44" s="330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2042</v>
      </c>
      <c r="D45" s="163">
        <f>IF(F44+SUM(E$17:E44)=D$10,F44,D$10-SUM(E$17:E44))</f>
        <v>679293.15307692415</v>
      </c>
      <c r="E45" s="164">
        <f t="shared" si="2"/>
        <v>38347.707777777781</v>
      </c>
      <c r="F45" s="163">
        <f t="shared" si="3"/>
        <v>640945.44529914635</v>
      </c>
      <c r="G45" s="165">
        <f t="shared" si="4"/>
        <v>125090.70777777777</v>
      </c>
      <c r="H45" s="147">
        <f t="shared" si="5"/>
        <v>125090.70777777777</v>
      </c>
      <c r="I45" s="160">
        <f t="shared" si="1"/>
        <v>0</v>
      </c>
      <c r="J45" s="160"/>
      <c r="K45" s="330"/>
      <c r="L45" s="162">
        <f t="shared" si="6"/>
        <v>0</v>
      </c>
      <c r="M45" s="330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2043</v>
      </c>
      <c r="D46" s="163">
        <f>IF(F45+SUM(E$17:E45)=D$10,F45,D$10-SUM(E$17:E45))</f>
        <v>640945.44529914635</v>
      </c>
      <c r="E46" s="164">
        <f t="shared" si="2"/>
        <v>38347.707777777781</v>
      </c>
      <c r="F46" s="163">
        <f t="shared" si="3"/>
        <v>602597.73752136854</v>
      </c>
      <c r="G46" s="165">
        <f t="shared" si="4"/>
        <v>119900.70777777777</v>
      </c>
      <c r="H46" s="147">
        <f t="shared" si="5"/>
        <v>119900.70777777777</v>
      </c>
      <c r="I46" s="160">
        <f t="shared" si="1"/>
        <v>0</v>
      </c>
      <c r="J46" s="160"/>
      <c r="K46" s="330"/>
      <c r="L46" s="162">
        <f t="shared" si="6"/>
        <v>0</v>
      </c>
      <c r="M46" s="330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2044</v>
      </c>
      <c r="D47" s="163">
        <f>IF(F46+SUM(E$17:E46)=D$10,F46,D$10-SUM(E$17:E46))</f>
        <v>602597.73752136854</v>
      </c>
      <c r="E47" s="164">
        <f t="shared" si="2"/>
        <v>38347.707777777781</v>
      </c>
      <c r="F47" s="163">
        <f t="shared" si="3"/>
        <v>564250.02974359074</v>
      </c>
      <c r="G47" s="165">
        <f t="shared" si="4"/>
        <v>114710.70777777777</v>
      </c>
      <c r="H47" s="147">
        <f t="shared" si="5"/>
        <v>114710.70777777777</v>
      </c>
      <c r="I47" s="160">
        <f t="shared" si="1"/>
        <v>0</v>
      </c>
      <c r="J47" s="160"/>
      <c r="K47" s="330"/>
      <c r="L47" s="162">
        <f t="shared" si="6"/>
        <v>0</v>
      </c>
      <c r="M47" s="330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2045</v>
      </c>
      <c r="D48" s="163">
        <f>IF(F47+SUM(E$17:E47)=D$10,F47,D$10-SUM(E$17:E47))</f>
        <v>564250.02974359074</v>
      </c>
      <c r="E48" s="164">
        <f t="shared" si="2"/>
        <v>38347.707777777781</v>
      </c>
      <c r="F48" s="163">
        <f t="shared" si="3"/>
        <v>525902.32196581294</v>
      </c>
      <c r="G48" s="165">
        <f t="shared" si="4"/>
        <v>109520.70777777777</v>
      </c>
      <c r="H48" s="147">
        <f t="shared" si="5"/>
        <v>109520.70777777777</v>
      </c>
      <c r="I48" s="160">
        <f t="shared" si="1"/>
        <v>0</v>
      </c>
      <c r="J48" s="160"/>
      <c r="K48" s="330"/>
      <c r="L48" s="162">
        <f t="shared" si="6"/>
        <v>0</v>
      </c>
      <c r="M48" s="330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2046</v>
      </c>
      <c r="D49" s="163">
        <f>IF(F48+SUM(E$17:E48)=D$10,F48,D$10-SUM(E$17:E48))</f>
        <v>525902.32196581294</v>
      </c>
      <c r="E49" s="164">
        <f t="shared" si="2"/>
        <v>38347.707777777781</v>
      </c>
      <c r="F49" s="163">
        <f t="shared" si="3"/>
        <v>487554.61418803514</v>
      </c>
      <c r="G49" s="165">
        <f t="shared" si="4"/>
        <v>104330.70777777777</v>
      </c>
      <c r="H49" s="147">
        <f t="shared" si="5"/>
        <v>104330.70777777777</v>
      </c>
      <c r="I49" s="160">
        <f t="shared" si="1"/>
        <v>0</v>
      </c>
      <c r="J49" s="160"/>
      <c r="K49" s="330"/>
      <c r="L49" s="162">
        <f t="shared" si="6"/>
        <v>0</v>
      </c>
      <c r="M49" s="330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2047</v>
      </c>
      <c r="D50" s="163">
        <f>IF(F49+SUM(E$17:E49)=D$10,F49,D$10-SUM(E$17:E49))</f>
        <v>487554.61418803514</v>
      </c>
      <c r="E50" s="164">
        <f t="shared" si="2"/>
        <v>38347.707777777781</v>
      </c>
      <c r="F50" s="163">
        <f t="shared" si="3"/>
        <v>449206.90641025733</v>
      </c>
      <c r="G50" s="165">
        <f t="shared" si="4"/>
        <v>99141.707777777774</v>
      </c>
      <c r="H50" s="147">
        <f t="shared" si="5"/>
        <v>99141.707777777774</v>
      </c>
      <c r="I50" s="160">
        <f t="shared" si="1"/>
        <v>0</v>
      </c>
      <c r="J50" s="160"/>
      <c r="K50" s="330"/>
      <c r="L50" s="162">
        <f t="shared" si="6"/>
        <v>0</v>
      </c>
      <c r="M50" s="330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2048</v>
      </c>
      <c r="D51" s="163">
        <f>IF(F50+SUM(E$17:E50)=D$10,F50,D$10-SUM(E$17:E50))</f>
        <v>449206.90641025733</v>
      </c>
      <c r="E51" s="164">
        <f t="shared" si="2"/>
        <v>38347.707777777781</v>
      </c>
      <c r="F51" s="163">
        <f t="shared" si="3"/>
        <v>410859.19863247953</v>
      </c>
      <c r="G51" s="165">
        <f t="shared" si="4"/>
        <v>93951.707777777774</v>
      </c>
      <c r="H51" s="147">
        <f t="shared" si="5"/>
        <v>93951.707777777774</v>
      </c>
      <c r="I51" s="160">
        <f t="shared" si="1"/>
        <v>0</v>
      </c>
      <c r="J51" s="160"/>
      <c r="K51" s="330"/>
      <c r="L51" s="162">
        <f t="shared" si="6"/>
        <v>0</v>
      </c>
      <c r="M51" s="330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2049</v>
      </c>
      <c r="D52" s="163">
        <f>IF(F51+SUM(E$17:E51)=D$10,F51,D$10-SUM(E$17:E51))</f>
        <v>410859.19863247953</v>
      </c>
      <c r="E52" s="164">
        <f t="shared" si="2"/>
        <v>38347.707777777781</v>
      </c>
      <c r="F52" s="163">
        <f t="shared" si="3"/>
        <v>372511.49085470173</v>
      </c>
      <c r="G52" s="165">
        <f t="shared" si="4"/>
        <v>88761.707777777774</v>
      </c>
      <c r="H52" s="147">
        <f t="shared" si="5"/>
        <v>88761.707777777774</v>
      </c>
      <c r="I52" s="160">
        <f t="shared" si="1"/>
        <v>0</v>
      </c>
      <c r="J52" s="160"/>
      <c r="K52" s="330"/>
      <c r="L52" s="162">
        <f t="shared" si="6"/>
        <v>0</v>
      </c>
      <c r="M52" s="330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2050</v>
      </c>
      <c r="D53" s="163">
        <f>IF(F52+SUM(E$17:E52)=D$10,F52,D$10-SUM(E$17:E52))</f>
        <v>372511.49085470173</v>
      </c>
      <c r="E53" s="164">
        <f t="shared" si="2"/>
        <v>38347.707777777781</v>
      </c>
      <c r="F53" s="163">
        <f t="shared" si="3"/>
        <v>334163.78307692392</v>
      </c>
      <c r="G53" s="165">
        <f t="shared" si="4"/>
        <v>83571.707777777774</v>
      </c>
      <c r="H53" s="147">
        <f t="shared" si="5"/>
        <v>83571.707777777774</v>
      </c>
      <c r="I53" s="160">
        <f t="shared" si="1"/>
        <v>0</v>
      </c>
      <c r="J53" s="160"/>
      <c r="K53" s="330"/>
      <c r="L53" s="162">
        <f t="shared" si="6"/>
        <v>0</v>
      </c>
      <c r="M53" s="330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2051</v>
      </c>
      <c r="D54" s="163">
        <f>IF(F53+SUM(E$17:E53)=D$10,F53,D$10-SUM(E$17:E53))</f>
        <v>334163.78307692392</v>
      </c>
      <c r="E54" s="164">
        <f t="shared" si="2"/>
        <v>38347.707777777781</v>
      </c>
      <c r="F54" s="163">
        <f t="shared" si="3"/>
        <v>295816.07529914612</v>
      </c>
      <c r="G54" s="165">
        <f t="shared" si="4"/>
        <v>78381.707777777774</v>
      </c>
      <c r="H54" s="147">
        <f t="shared" si="5"/>
        <v>78381.707777777774</v>
      </c>
      <c r="I54" s="160">
        <f t="shared" si="1"/>
        <v>0</v>
      </c>
      <c r="J54" s="160"/>
      <c r="K54" s="330"/>
      <c r="L54" s="162">
        <f t="shared" si="6"/>
        <v>0</v>
      </c>
      <c r="M54" s="330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2052</v>
      </c>
      <c r="D55" s="163">
        <f>IF(F54+SUM(E$17:E54)=D$10,F54,D$10-SUM(E$17:E54))</f>
        <v>295816.07529914612</v>
      </c>
      <c r="E55" s="164">
        <f t="shared" si="2"/>
        <v>38347.707777777781</v>
      </c>
      <c r="F55" s="163">
        <f t="shared" si="3"/>
        <v>257468.36752136835</v>
      </c>
      <c r="G55" s="165">
        <f t="shared" si="4"/>
        <v>73192.707777777774</v>
      </c>
      <c r="H55" s="147">
        <f t="shared" si="5"/>
        <v>73192.707777777774</v>
      </c>
      <c r="I55" s="160">
        <f t="shared" si="1"/>
        <v>0</v>
      </c>
      <c r="J55" s="160"/>
      <c r="K55" s="330"/>
      <c r="L55" s="162">
        <f t="shared" si="6"/>
        <v>0</v>
      </c>
      <c r="M55" s="330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2053</v>
      </c>
      <c r="D56" s="163">
        <f>IF(F55+SUM(E$17:E55)=D$10,F55,D$10-SUM(E$17:E55))</f>
        <v>257468.36752136835</v>
      </c>
      <c r="E56" s="164">
        <f t="shared" si="2"/>
        <v>38347.707777777781</v>
      </c>
      <c r="F56" s="163">
        <f t="shared" si="3"/>
        <v>219120.65974359057</v>
      </c>
      <c r="G56" s="165">
        <f t="shared" si="4"/>
        <v>68002.707777777774</v>
      </c>
      <c r="H56" s="147">
        <f t="shared" si="5"/>
        <v>68002.707777777774</v>
      </c>
      <c r="I56" s="160">
        <f t="shared" si="1"/>
        <v>0</v>
      </c>
      <c r="J56" s="160"/>
      <c r="K56" s="330"/>
      <c r="L56" s="162">
        <f t="shared" si="6"/>
        <v>0</v>
      </c>
      <c r="M56" s="330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2054</v>
      </c>
      <c r="D57" s="163">
        <f>IF(F56+SUM(E$17:E56)=D$10,F56,D$10-SUM(E$17:E56))</f>
        <v>219120.65974359057</v>
      </c>
      <c r="E57" s="164">
        <f t="shared" si="2"/>
        <v>38347.707777777781</v>
      </c>
      <c r="F57" s="163">
        <f t="shared" si="3"/>
        <v>180772.9519658128</v>
      </c>
      <c r="G57" s="165">
        <f t="shared" si="4"/>
        <v>62812.707777777781</v>
      </c>
      <c r="H57" s="147">
        <f t="shared" si="5"/>
        <v>62812.707777777781</v>
      </c>
      <c r="I57" s="160">
        <f t="shared" si="1"/>
        <v>0</v>
      </c>
      <c r="J57" s="160"/>
      <c r="K57" s="330"/>
      <c r="L57" s="162">
        <f t="shared" si="6"/>
        <v>0</v>
      </c>
      <c r="M57" s="330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2055</v>
      </c>
      <c r="D58" s="163">
        <f>IF(F57+SUM(E$17:E57)=D$10,F57,D$10-SUM(E$17:E57))</f>
        <v>180772.9519658128</v>
      </c>
      <c r="E58" s="164">
        <f t="shared" si="2"/>
        <v>38347.707777777781</v>
      </c>
      <c r="F58" s="163">
        <f t="shared" si="3"/>
        <v>142425.24418803502</v>
      </c>
      <c r="G58" s="165">
        <f t="shared" si="4"/>
        <v>57622.707777777781</v>
      </c>
      <c r="H58" s="147">
        <f t="shared" si="5"/>
        <v>57622.707777777781</v>
      </c>
      <c r="I58" s="160">
        <f t="shared" si="1"/>
        <v>0</v>
      </c>
      <c r="J58" s="160"/>
      <c r="K58" s="330"/>
      <c r="L58" s="162">
        <f t="shared" si="6"/>
        <v>0</v>
      </c>
      <c r="M58" s="330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2056</v>
      </c>
      <c r="D59" s="163">
        <f>IF(F58+SUM(E$17:E58)=D$10,F58,D$10-SUM(E$17:E58))</f>
        <v>142425.24418803502</v>
      </c>
      <c r="E59" s="164">
        <f t="shared" si="2"/>
        <v>38347.707777777781</v>
      </c>
      <c r="F59" s="163">
        <f t="shared" si="3"/>
        <v>104077.53641025725</v>
      </c>
      <c r="G59" s="165">
        <f t="shared" si="4"/>
        <v>52432.707777777781</v>
      </c>
      <c r="H59" s="147">
        <f t="shared" si="5"/>
        <v>52432.707777777781</v>
      </c>
      <c r="I59" s="160">
        <f t="shared" si="1"/>
        <v>0</v>
      </c>
      <c r="J59" s="160"/>
      <c r="K59" s="330"/>
      <c r="L59" s="162">
        <f t="shared" si="6"/>
        <v>0</v>
      </c>
      <c r="M59" s="330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2057</v>
      </c>
      <c r="D60" s="163">
        <f>IF(F59+SUM(E$17:E59)=D$10,F59,D$10-SUM(E$17:E59))</f>
        <v>104077.53641025725</v>
      </c>
      <c r="E60" s="164">
        <f t="shared" si="2"/>
        <v>38347.707777777781</v>
      </c>
      <c r="F60" s="163">
        <f t="shared" si="3"/>
        <v>65729.828632479475</v>
      </c>
      <c r="G60" s="165">
        <f t="shared" si="4"/>
        <v>47243.707777777781</v>
      </c>
      <c r="H60" s="147">
        <f t="shared" si="5"/>
        <v>47243.707777777781</v>
      </c>
      <c r="I60" s="160">
        <f t="shared" si="1"/>
        <v>0</v>
      </c>
      <c r="J60" s="160"/>
      <c r="K60" s="330"/>
      <c r="L60" s="162">
        <f t="shared" si="6"/>
        <v>0</v>
      </c>
      <c r="M60" s="330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2058</v>
      </c>
      <c r="D61" s="163">
        <f>IF(F60+SUM(E$17:E60)=D$10,F60,D$10-SUM(E$17:E60))</f>
        <v>65729.828632479475</v>
      </c>
      <c r="E61" s="164">
        <f t="shared" si="2"/>
        <v>38347.707777777781</v>
      </c>
      <c r="F61" s="163">
        <f t="shared" si="3"/>
        <v>27382.120854701694</v>
      </c>
      <c r="G61" s="165">
        <f t="shared" si="4"/>
        <v>42053.707777777781</v>
      </c>
      <c r="H61" s="147">
        <f t="shared" si="5"/>
        <v>42053.707777777781</v>
      </c>
      <c r="I61" s="160">
        <f t="shared" si="1"/>
        <v>0</v>
      </c>
      <c r="J61" s="160"/>
      <c r="K61" s="330"/>
      <c r="L61" s="162">
        <f t="shared" si="6"/>
        <v>0</v>
      </c>
      <c r="M61" s="330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2059</v>
      </c>
      <c r="D62" s="163">
        <f>IF(F61+SUM(E$17:E61)=D$10,F61,D$10-SUM(E$17:E61))</f>
        <v>27382.120854701694</v>
      </c>
      <c r="E62" s="164">
        <f t="shared" si="2"/>
        <v>27382.120854701694</v>
      </c>
      <c r="F62" s="163">
        <f t="shared" si="3"/>
        <v>0</v>
      </c>
      <c r="G62" s="165">
        <f t="shared" si="4"/>
        <v>27382.120854701694</v>
      </c>
      <c r="H62" s="147">
        <f t="shared" si="5"/>
        <v>27382.120854701694</v>
      </c>
      <c r="I62" s="160">
        <f t="shared" si="1"/>
        <v>0</v>
      </c>
      <c r="J62" s="160"/>
      <c r="K62" s="330"/>
      <c r="L62" s="162">
        <f t="shared" si="6"/>
        <v>0</v>
      </c>
      <c r="M62" s="330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2"/>
        <v>0</v>
      </c>
      <c r="F63" s="163">
        <f t="shared" si="3"/>
        <v>0</v>
      </c>
      <c r="G63" s="165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0"/>
      <c r="L63" s="162">
        <f t="shared" si="6"/>
        <v>0</v>
      </c>
      <c r="M63" s="330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2"/>
        <v>0</v>
      </c>
      <c r="F64" s="163">
        <f t="shared" si="3"/>
        <v>0</v>
      </c>
      <c r="G64" s="165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0"/>
      <c r="L64" s="162">
        <f t="shared" si="6"/>
        <v>0</v>
      </c>
      <c r="M64" s="330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2"/>
        <v>0</v>
      </c>
      <c r="F65" s="163">
        <f t="shared" si="3"/>
        <v>0</v>
      </c>
      <c r="G65" s="165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0"/>
      <c r="L65" s="162">
        <f t="shared" si="6"/>
        <v>0</v>
      </c>
      <c r="M65" s="330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2"/>
        <v>0</v>
      </c>
      <c r="F66" s="163">
        <f t="shared" si="3"/>
        <v>0</v>
      </c>
      <c r="G66" s="165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0"/>
      <c r="L66" s="162">
        <f t="shared" si="6"/>
        <v>0</v>
      </c>
      <c r="M66" s="330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2"/>
        <v>0</v>
      </c>
      <c r="F67" s="163">
        <f t="shared" si="3"/>
        <v>0</v>
      </c>
      <c r="G67" s="165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0"/>
      <c r="L67" s="162">
        <f t="shared" si="6"/>
        <v>0</v>
      </c>
      <c r="M67" s="330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2"/>
        <v>0</v>
      </c>
      <c r="F68" s="163">
        <f t="shared" si="3"/>
        <v>0</v>
      </c>
      <c r="G68" s="165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0"/>
      <c r="L68" s="162">
        <f t="shared" si="6"/>
        <v>0</v>
      </c>
      <c r="M68" s="330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2"/>
        <v>0</v>
      </c>
      <c r="F69" s="163">
        <f t="shared" si="3"/>
        <v>0</v>
      </c>
      <c r="G69" s="165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0"/>
      <c r="L69" s="162">
        <f t="shared" si="6"/>
        <v>0</v>
      </c>
      <c r="M69" s="330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2"/>
        <v>0</v>
      </c>
      <c r="F70" s="163">
        <f t="shared" si="3"/>
        <v>0</v>
      </c>
      <c r="G70" s="165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0"/>
      <c r="L70" s="162">
        <f t="shared" si="6"/>
        <v>0</v>
      </c>
      <c r="M70" s="330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2"/>
        <v>0</v>
      </c>
      <c r="F71" s="163">
        <f t="shared" si="3"/>
        <v>0</v>
      </c>
      <c r="G71" s="165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0"/>
      <c r="L71" s="162">
        <f t="shared" si="6"/>
        <v>0</v>
      </c>
      <c r="M71" s="330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2"/>
        <v>0</v>
      </c>
      <c r="F72" s="169">
        <f t="shared" si="3"/>
        <v>0</v>
      </c>
      <c r="G72" s="372">
        <f t="shared" si="4"/>
        <v>0</v>
      </c>
      <c r="H72" s="130">
        <f t="shared" si="5"/>
        <v>0</v>
      </c>
      <c r="I72" s="172">
        <f t="shared" si="1"/>
        <v>0</v>
      </c>
      <c r="J72" s="160"/>
      <c r="K72" s="331"/>
      <c r="L72" s="173">
        <f t="shared" si="6"/>
        <v>0</v>
      </c>
      <c r="M72" s="331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77</v>
      </c>
      <c r="D73" s="115"/>
      <c r="E73" s="115">
        <f>SUM(E17:E72)</f>
        <v>1725646.8499999999</v>
      </c>
      <c r="F73" s="115"/>
      <c r="G73" s="115">
        <f>SUM(G17:G72)</f>
        <v>7016316.9706546497</v>
      </c>
      <c r="H73" s="115">
        <f>SUM(H17:H72)</f>
        <v>7016316.9706546497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18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249645.70777777777</v>
      </c>
      <c r="N87" s="202">
        <f>IF(J92&lt;D11,0,VLOOKUP(J92,C17:O72,11))</f>
        <v>249645.70777777777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204281.22089486517</v>
      </c>
      <c r="N88" s="204">
        <f>IF(J92&lt;D11,0,VLOOKUP(J92,C99:P154,7))</f>
        <v>204281.22089486517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Darlington-Red Rock 138 kV line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-45364.486882912606</v>
      </c>
      <c r="N89" s="207">
        <f>+N88-N87</f>
        <v>-45364.486882912606</v>
      </c>
      <c r="O89" s="208">
        <f>+O88-O87</f>
        <v>0</v>
      </c>
      <c r="P89" s="1"/>
    </row>
    <row r="90" spans="1:16" ht="13.5" thickBot="1">
      <c r="C90" s="174"/>
      <c r="D90" s="424" t="s">
        <v>274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TP2012112</v>
      </c>
      <c r="E91" s="210" t="str">
        <f>E9</f>
        <v xml:space="preserve">  SPP Project ID = 30346</v>
      </c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428">
        <v>1725647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2014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4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40131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2014</v>
      </c>
      <c r="D99" s="413"/>
      <c r="E99" s="414"/>
      <c r="F99" s="415"/>
      <c r="G99" s="425"/>
      <c r="H99" s="426"/>
      <c r="I99" s="427"/>
      <c r="J99" s="162">
        <v>0</v>
      </c>
      <c r="K99" s="162"/>
      <c r="L99" s="333">
        <f>H99</f>
        <v>0</v>
      </c>
      <c r="M99" s="175">
        <f>IF(L99&lt;&gt;0,+H99-L99,0)</f>
        <v>0</v>
      </c>
      <c r="N99" s="333">
        <f>I99</f>
        <v>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2015</v>
      </c>
      <c r="D100" s="399">
        <v>1703523.1724358976</v>
      </c>
      <c r="E100" s="400">
        <v>32760</v>
      </c>
      <c r="F100" s="399">
        <v>1670763.1724358976</v>
      </c>
      <c r="G100" s="400">
        <v>1687143.1724358976</v>
      </c>
      <c r="H100" s="404">
        <v>262957.1205792831</v>
      </c>
      <c r="I100" s="399">
        <v>262957.1205792831</v>
      </c>
      <c r="J100" s="162">
        <f>+I100-H100</f>
        <v>0</v>
      </c>
      <c r="K100" s="162"/>
      <c r="L100" s="333">
        <f>H100</f>
        <v>262957.1205792831</v>
      </c>
      <c r="M100" s="175">
        <f>IF(L100&lt;&gt;0,+H100-L100,0)</f>
        <v>0</v>
      </c>
      <c r="N100" s="333">
        <f>I100</f>
        <v>262957.1205792831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9">IF(D101=F100,"","IU")</f>
        <v>IU</v>
      </c>
      <c r="C101" s="157">
        <f>IF(D93="","-",+C100+1)</f>
        <v>2016</v>
      </c>
      <c r="D101" s="399">
        <v>1692887</v>
      </c>
      <c r="E101" s="400">
        <v>37514</v>
      </c>
      <c r="F101" s="399">
        <v>1655373</v>
      </c>
      <c r="G101" s="400">
        <v>1674130</v>
      </c>
      <c r="H101" s="404">
        <v>250555.65084872485</v>
      </c>
      <c r="I101" s="399">
        <v>250555.65084872485</v>
      </c>
      <c r="J101" s="162">
        <f t="shared" ref="J101:J154" si="10">+I101-H101</f>
        <v>0</v>
      </c>
      <c r="K101" s="162"/>
      <c r="L101" s="333">
        <f>H101</f>
        <v>250555.65084872485</v>
      </c>
      <c r="M101" s="175">
        <f>IF(L101&lt;&gt;0,+H101-L101,0)</f>
        <v>0</v>
      </c>
      <c r="N101" s="333">
        <f>I101</f>
        <v>250555.65084872485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9"/>
        <v/>
      </c>
      <c r="C102" s="157">
        <f>IF(D93="","-",+C101+1)</f>
        <v>2017</v>
      </c>
      <c r="D102" s="399">
        <v>1655373</v>
      </c>
      <c r="E102" s="400">
        <v>37514</v>
      </c>
      <c r="F102" s="399">
        <v>1617859</v>
      </c>
      <c r="G102" s="400">
        <v>1636616</v>
      </c>
      <c r="H102" s="404">
        <v>245122.86632871011</v>
      </c>
      <c r="I102" s="399">
        <v>245122.86632871011</v>
      </c>
      <c r="J102" s="162">
        <f t="shared" si="10"/>
        <v>0</v>
      </c>
      <c r="K102" s="162"/>
      <c r="L102" s="333">
        <f>H102</f>
        <v>245122.86632871011</v>
      </c>
      <c r="M102" s="175">
        <f>IF(L102&lt;&gt;0,+H102-L102,0)</f>
        <v>0</v>
      </c>
      <c r="N102" s="333">
        <f>I102</f>
        <v>245122.86632871011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9"/>
        <v/>
      </c>
      <c r="C103" s="157">
        <f>IF(D93="","-",+C102+1)</f>
        <v>2018</v>
      </c>
      <c r="D103" s="158">
        <f>IF(F102+SUM(E$99:E102)=D$92,F102,D$92-SUM(E$99:E102))</f>
        <v>1617859</v>
      </c>
      <c r="E103" s="164">
        <f t="shared" ref="E103:E154" si="11">IF(+J$96&lt;F102,J$96,D103)</f>
        <v>40131</v>
      </c>
      <c r="F103" s="163">
        <f t="shared" ref="F103:F154" si="12">+D103-E103</f>
        <v>1577728</v>
      </c>
      <c r="G103" s="163">
        <f t="shared" ref="G103:G154" si="13">+(F103+D103)/2</f>
        <v>1597793.5</v>
      </c>
      <c r="H103" s="167">
        <f t="shared" ref="H103:H154" si="14">+J$94*G103+E103</f>
        <v>204281.22089486517</v>
      </c>
      <c r="I103" s="312">
        <f t="shared" ref="I103:I154" si="15">+J$95*G103+E103</f>
        <v>204281.22089486517</v>
      </c>
      <c r="J103" s="162">
        <f t="shared" si="10"/>
        <v>0</v>
      </c>
      <c r="K103" s="162"/>
      <c r="L103" s="330"/>
      <c r="M103" s="162">
        <f t="shared" ref="M103:M130" si="16">IF(L103&lt;&gt;0,+H103-L103,0)</f>
        <v>0</v>
      </c>
      <c r="N103" s="330"/>
      <c r="O103" s="162">
        <f t="shared" ref="O103:O130" si="17">IF(N103&lt;&gt;0,+I103-N103,0)</f>
        <v>0</v>
      </c>
      <c r="P103" s="162">
        <f t="shared" ref="P103:P130" si="18">+O103-M103</f>
        <v>0</v>
      </c>
    </row>
    <row r="104" spans="1:16">
      <c r="B104" s="9" t="str">
        <f t="shared" si="9"/>
        <v/>
      </c>
      <c r="C104" s="157">
        <f>IF(D93="","-",+C103+1)</f>
        <v>2019</v>
      </c>
      <c r="D104" s="158">
        <f>IF(F103+SUM(E$99:E103)=D$92,F103,D$92-SUM(E$99:E103))</f>
        <v>1577728</v>
      </c>
      <c r="E104" s="164">
        <f t="shared" si="11"/>
        <v>40131</v>
      </c>
      <c r="F104" s="163">
        <f t="shared" si="12"/>
        <v>1537597</v>
      </c>
      <c r="G104" s="163">
        <f t="shared" si="13"/>
        <v>1557662.5</v>
      </c>
      <c r="H104" s="167">
        <f t="shared" si="14"/>
        <v>200158.33986253414</v>
      </c>
      <c r="I104" s="312">
        <f t="shared" si="15"/>
        <v>200158.33986253414</v>
      </c>
      <c r="J104" s="162">
        <f t="shared" si="10"/>
        <v>0</v>
      </c>
      <c r="K104" s="162"/>
      <c r="L104" s="330"/>
      <c r="M104" s="162">
        <f t="shared" si="16"/>
        <v>0</v>
      </c>
      <c r="N104" s="330"/>
      <c r="O104" s="162">
        <f t="shared" si="17"/>
        <v>0</v>
      </c>
      <c r="P104" s="162">
        <f t="shared" si="18"/>
        <v>0</v>
      </c>
    </row>
    <row r="105" spans="1:16">
      <c r="B105" s="9" t="str">
        <f t="shared" si="9"/>
        <v/>
      </c>
      <c r="C105" s="157">
        <f>IF(D93="","-",+C104+1)</f>
        <v>2020</v>
      </c>
      <c r="D105" s="158">
        <f>IF(F104+SUM(E$99:E104)=D$92,F104,D$92-SUM(E$99:E104))</f>
        <v>1537597</v>
      </c>
      <c r="E105" s="164">
        <f t="shared" si="11"/>
        <v>40131</v>
      </c>
      <c r="F105" s="163">
        <f t="shared" si="12"/>
        <v>1497466</v>
      </c>
      <c r="G105" s="163">
        <f t="shared" si="13"/>
        <v>1517531.5</v>
      </c>
      <c r="H105" s="167">
        <f t="shared" si="14"/>
        <v>196035.45883020308</v>
      </c>
      <c r="I105" s="312">
        <f t="shared" si="15"/>
        <v>196035.45883020308</v>
      </c>
      <c r="J105" s="162">
        <f t="shared" si="10"/>
        <v>0</v>
      </c>
      <c r="K105" s="162"/>
      <c r="L105" s="330"/>
      <c r="M105" s="162">
        <f t="shared" si="16"/>
        <v>0</v>
      </c>
      <c r="N105" s="330"/>
      <c r="O105" s="162">
        <f t="shared" si="17"/>
        <v>0</v>
      </c>
      <c r="P105" s="162">
        <f t="shared" si="18"/>
        <v>0</v>
      </c>
    </row>
    <row r="106" spans="1:16">
      <c r="B106" s="9" t="str">
        <f t="shared" si="9"/>
        <v/>
      </c>
      <c r="C106" s="157">
        <f>IF(D93="","-",+C105+1)</f>
        <v>2021</v>
      </c>
      <c r="D106" s="158">
        <f>IF(F105+SUM(E$99:E105)=D$92,F105,D$92-SUM(E$99:E105))</f>
        <v>1497466</v>
      </c>
      <c r="E106" s="164">
        <f t="shared" si="11"/>
        <v>40131</v>
      </c>
      <c r="F106" s="163">
        <f t="shared" si="12"/>
        <v>1457335</v>
      </c>
      <c r="G106" s="163">
        <f t="shared" si="13"/>
        <v>1477400.5</v>
      </c>
      <c r="H106" s="167">
        <f t="shared" si="14"/>
        <v>191912.57779787204</v>
      </c>
      <c r="I106" s="312">
        <f t="shared" si="15"/>
        <v>191912.57779787204</v>
      </c>
      <c r="J106" s="162">
        <f t="shared" si="10"/>
        <v>0</v>
      </c>
      <c r="K106" s="162"/>
      <c r="L106" s="330"/>
      <c r="M106" s="162">
        <f t="shared" si="16"/>
        <v>0</v>
      </c>
      <c r="N106" s="330"/>
      <c r="O106" s="162">
        <f t="shared" si="17"/>
        <v>0</v>
      </c>
      <c r="P106" s="162">
        <f t="shared" si="18"/>
        <v>0</v>
      </c>
    </row>
    <row r="107" spans="1:16">
      <c r="B107" s="9" t="str">
        <f t="shared" si="9"/>
        <v/>
      </c>
      <c r="C107" s="157">
        <f>IF(D93="","-",+C106+1)</f>
        <v>2022</v>
      </c>
      <c r="D107" s="158">
        <f>IF(F106+SUM(E$99:E106)=D$92,F106,D$92-SUM(E$99:E106))</f>
        <v>1457335</v>
      </c>
      <c r="E107" s="164">
        <f t="shared" si="11"/>
        <v>40131</v>
      </c>
      <c r="F107" s="163">
        <f t="shared" si="12"/>
        <v>1417204</v>
      </c>
      <c r="G107" s="163">
        <f t="shared" si="13"/>
        <v>1437269.5</v>
      </c>
      <c r="H107" s="167">
        <f t="shared" si="14"/>
        <v>187789.69676554098</v>
      </c>
      <c r="I107" s="312">
        <f t="shared" si="15"/>
        <v>187789.69676554098</v>
      </c>
      <c r="J107" s="162">
        <f t="shared" si="10"/>
        <v>0</v>
      </c>
      <c r="K107" s="162"/>
      <c r="L107" s="330"/>
      <c r="M107" s="162">
        <f t="shared" si="16"/>
        <v>0</v>
      </c>
      <c r="N107" s="330"/>
      <c r="O107" s="162">
        <f t="shared" si="17"/>
        <v>0</v>
      </c>
      <c r="P107" s="162">
        <f t="shared" si="18"/>
        <v>0</v>
      </c>
    </row>
    <row r="108" spans="1:16">
      <c r="B108" s="9" t="str">
        <f t="shared" si="9"/>
        <v/>
      </c>
      <c r="C108" s="157">
        <f>IF(D93="","-",+C107+1)</f>
        <v>2023</v>
      </c>
      <c r="D108" s="158">
        <f>IF(F107+SUM(E$99:E107)=D$92,F107,D$92-SUM(E$99:E107))</f>
        <v>1417204</v>
      </c>
      <c r="E108" s="164">
        <f t="shared" si="11"/>
        <v>40131</v>
      </c>
      <c r="F108" s="163">
        <f t="shared" si="12"/>
        <v>1377073</v>
      </c>
      <c r="G108" s="163">
        <f t="shared" si="13"/>
        <v>1397138.5</v>
      </c>
      <c r="H108" s="167">
        <f t="shared" si="14"/>
        <v>183666.81573320995</v>
      </c>
      <c r="I108" s="312">
        <f t="shared" si="15"/>
        <v>183666.81573320995</v>
      </c>
      <c r="J108" s="162">
        <f t="shared" si="10"/>
        <v>0</v>
      </c>
      <c r="K108" s="162"/>
      <c r="L108" s="330"/>
      <c r="M108" s="162">
        <f t="shared" si="16"/>
        <v>0</v>
      </c>
      <c r="N108" s="330"/>
      <c r="O108" s="162">
        <f t="shared" si="17"/>
        <v>0</v>
      </c>
      <c r="P108" s="162">
        <f t="shared" si="18"/>
        <v>0</v>
      </c>
    </row>
    <row r="109" spans="1:16">
      <c r="B109" s="9" t="str">
        <f t="shared" si="9"/>
        <v/>
      </c>
      <c r="C109" s="157">
        <f>IF(D93="","-",+C108+1)</f>
        <v>2024</v>
      </c>
      <c r="D109" s="158">
        <f>IF(F108+SUM(E$99:E108)=D$92,F108,D$92-SUM(E$99:E108))</f>
        <v>1377073</v>
      </c>
      <c r="E109" s="164">
        <f t="shared" si="11"/>
        <v>40131</v>
      </c>
      <c r="F109" s="163">
        <f t="shared" si="12"/>
        <v>1336942</v>
      </c>
      <c r="G109" s="163">
        <f t="shared" si="13"/>
        <v>1357007.5</v>
      </c>
      <c r="H109" s="167">
        <f t="shared" si="14"/>
        <v>179543.93470087889</v>
      </c>
      <c r="I109" s="312">
        <f t="shared" si="15"/>
        <v>179543.93470087889</v>
      </c>
      <c r="J109" s="162">
        <f t="shared" si="10"/>
        <v>0</v>
      </c>
      <c r="K109" s="162"/>
      <c r="L109" s="330"/>
      <c r="M109" s="162">
        <f t="shared" si="16"/>
        <v>0</v>
      </c>
      <c r="N109" s="330"/>
      <c r="O109" s="162">
        <f t="shared" si="17"/>
        <v>0</v>
      </c>
      <c r="P109" s="162">
        <f t="shared" si="18"/>
        <v>0</v>
      </c>
    </row>
    <row r="110" spans="1:16">
      <c r="B110" s="9" t="str">
        <f t="shared" si="9"/>
        <v/>
      </c>
      <c r="C110" s="157">
        <f>IF(D93="","-",+C109+1)</f>
        <v>2025</v>
      </c>
      <c r="D110" s="158">
        <f>IF(F109+SUM(E$99:E109)=D$92,F109,D$92-SUM(E$99:E109))</f>
        <v>1336942</v>
      </c>
      <c r="E110" s="164">
        <f t="shared" si="11"/>
        <v>40131</v>
      </c>
      <c r="F110" s="163">
        <f t="shared" si="12"/>
        <v>1296811</v>
      </c>
      <c r="G110" s="163">
        <f t="shared" si="13"/>
        <v>1316876.5</v>
      </c>
      <c r="H110" s="167">
        <f t="shared" si="14"/>
        <v>175421.05366854786</v>
      </c>
      <c r="I110" s="312">
        <f t="shared" si="15"/>
        <v>175421.05366854786</v>
      </c>
      <c r="J110" s="162">
        <f t="shared" si="10"/>
        <v>0</v>
      </c>
      <c r="K110" s="162"/>
      <c r="L110" s="330"/>
      <c r="M110" s="162">
        <f t="shared" si="16"/>
        <v>0</v>
      </c>
      <c r="N110" s="330"/>
      <c r="O110" s="162">
        <f t="shared" si="17"/>
        <v>0</v>
      </c>
      <c r="P110" s="162">
        <f t="shared" si="18"/>
        <v>0</v>
      </c>
    </row>
    <row r="111" spans="1:16">
      <c r="B111" s="9" t="str">
        <f t="shared" si="9"/>
        <v/>
      </c>
      <c r="C111" s="157">
        <f>IF(D93="","-",+C110+1)</f>
        <v>2026</v>
      </c>
      <c r="D111" s="158">
        <f>IF(F110+SUM(E$99:E110)=D$92,F110,D$92-SUM(E$99:E110))</f>
        <v>1296811</v>
      </c>
      <c r="E111" s="164">
        <f t="shared" si="11"/>
        <v>40131</v>
      </c>
      <c r="F111" s="163">
        <f t="shared" si="12"/>
        <v>1256680</v>
      </c>
      <c r="G111" s="163">
        <f t="shared" si="13"/>
        <v>1276745.5</v>
      </c>
      <c r="H111" s="167">
        <f t="shared" si="14"/>
        <v>171298.1726362168</v>
      </c>
      <c r="I111" s="312">
        <f t="shared" si="15"/>
        <v>171298.1726362168</v>
      </c>
      <c r="J111" s="162">
        <f t="shared" si="10"/>
        <v>0</v>
      </c>
      <c r="K111" s="162"/>
      <c r="L111" s="330"/>
      <c r="M111" s="162">
        <f t="shared" si="16"/>
        <v>0</v>
      </c>
      <c r="N111" s="330"/>
      <c r="O111" s="162">
        <f t="shared" si="17"/>
        <v>0</v>
      </c>
      <c r="P111" s="162">
        <f t="shared" si="18"/>
        <v>0</v>
      </c>
    </row>
    <row r="112" spans="1:16">
      <c r="B112" s="9" t="str">
        <f t="shared" si="9"/>
        <v/>
      </c>
      <c r="C112" s="157">
        <f>IF(D93="","-",+C111+1)</f>
        <v>2027</v>
      </c>
      <c r="D112" s="158">
        <f>IF(F111+SUM(E$99:E111)=D$92,F111,D$92-SUM(E$99:E111))</f>
        <v>1256680</v>
      </c>
      <c r="E112" s="164">
        <f t="shared" si="11"/>
        <v>40131</v>
      </c>
      <c r="F112" s="163">
        <f t="shared" si="12"/>
        <v>1216549</v>
      </c>
      <c r="G112" s="163">
        <f t="shared" si="13"/>
        <v>1236614.5</v>
      </c>
      <c r="H112" s="167">
        <f t="shared" si="14"/>
        <v>167175.29160388577</v>
      </c>
      <c r="I112" s="312">
        <f t="shared" si="15"/>
        <v>167175.29160388577</v>
      </c>
      <c r="J112" s="162">
        <f t="shared" si="10"/>
        <v>0</v>
      </c>
      <c r="K112" s="162"/>
      <c r="L112" s="330"/>
      <c r="M112" s="162">
        <f t="shared" si="16"/>
        <v>0</v>
      </c>
      <c r="N112" s="330"/>
      <c r="O112" s="162">
        <f t="shared" si="17"/>
        <v>0</v>
      </c>
      <c r="P112" s="162">
        <f t="shared" si="18"/>
        <v>0</v>
      </c>
    </row>
    <row r="113" spans="2:16">
      <c r="B113" s="9" t="str">
        <f t="shared" si="9"/>
        <v/>
      </c>
      <c r="C113" s="157">
        <f>IF(D93="","-",+C112+1)</f>
        <v>2028</v>
      </c>
      <c r="D113" s="158">
        <f>IF(F112+SUM(E$99:E112)=D$92,F112,D$92-SUM(E$99:E112))</f>
        <v>1216549</v>
      </c>
      <c r="E113" s="164">
        <f t="shared" si="11"/>
        <v>40131</v>
      </c>
      <c r="F113" s="163">
        <f t="shared" si="12"/>
        <v>1176418</v>
      </c>
      <c r="G113" s="163">
        <f t="shared" si="13"/>
        <v>1196483.5</v>
      </c>
      <c r="H113" s="167">
        <f t="shared" si="14"/>
        <v>163052.41057155473</v>
      </c>
      <c r="I113" s="312">
        <f t="shared" si="15"/>
        <v>163052.41057155473</v>
      </c>
      <c r="J113" s="162">
        <f t="shared" si="10"/>
        <v>0</v>
      </c>
      <c r="K113" s="162"/>
      <c r="L113" s="330"/>
      <c r="M113" s="162">
        <f t="shared" si="16"/>
        <v>0</v>
      </c>
      <c r="N113" s="330"/>
      <c r="O113" s="162">
        <f t="shared" si="17"/>
        <v>0</v>
      </c>
      <c r="P113" s="162">
        <f t="shared" si="18"/>
        <v>0</v>
      </c>
    </row>
    <row r="114" spans="2:16">
      <c r="B114" s="9" t="str">
        <f t="shared" si="9"/>
        <v/>
      </c>
      <c r="C114" s="157">
        <f>IF(D93="","-",+C113+1)</f>
        <v>2029</v>
      </c>
      <c r="D114" s="158">
        <f>IF(F113+SUM(E$99:E113)=D$92,F113,D$92-SUM(E$99:E113))</f>
        <v>1176418</v>
      </c>
      <c r="E114" s="164">
        <f t="shared" si="11"/>
        <v>40131</v>
      </c>
      <c r="F114" s="163">
        <f t="shared" si="12"/>
        <v>1136287</v>
      </c>
      <c r="G114" s="163">
        <f t="shared" si="13"/>
        <v>1156352.5</v>
      </c>
      <c r="H114" s="167">
        <f t="shared" si="14"/>
        <v>158929.52953922367</v>
      </c>
      <c r="I114" s="312">
        <f t="shared" si="15"/>
        <v>158929.52953922367</v>
      </c>
      <c r="J114" s="162">
        <f t="shared" si="10"/>
        <v>0</v>
      </c>
      <c r="K114" s="162"/>
      <c r="L114" s="330"/>
      <c r="M114" s="162">
        <f t="shared" si="16"/>
        <v>0</v>
      </c>
      <c r="N114" s="330"/>
      <c r="O114" s="162">
        <f t="shared" si="17"/>
        <v>0</v>
      </c>
      <c r="P114" s="162">
        <f t="shared" si="18"/>
        <v>0</v>
      </c>
    </row>
    <row r="115" spans="2:16">
      <c r="B115" s="9" t="str">
        <f t="shared" si="9"/>
        <v/>
      </c>
      <c r="C115" s="157">
        <f>IF(D93="","-",+C114+1)</f>
        <v>2030</v>
      </c>
      <c r="D115" s="158">
        <f>IF(F114+SUM(E$99:E114)=D$92,F114,D$92-SUM(E$99:E114))</f>
        <v>1136287</v>
      </c>
      <c r="E115" s="164">
        <f t="shared" si="11"/>
        <v>40131</v>
      </c>
      <c r="F115" s="163">
        <f t="shared" si="12"/>
        <v>1096156</v>
      </c>
      <c r="G115" s="163">
        <f t="shared" si="13"/>
        <v>1116221.5</v>
      </c>
      <c r="H115" s="167">
        <f t="shared" si="14"/>
        <v>154806.64850689261</v>
      </c>
      <c r="I115" s="312">
        <f t="shared" si="15"/>
        <v>154806.64850689261</v>
      </c>
      <c r="J115" s="162">
        <f t="shared" si="10"/>
        <v>0</v>
      </c>
      <c r="K115" s="162"/>
      <c r="L115" s="330"/>
      <c r="M115" s="162">
        <f t="shared" si="16"/>
        <v>0</v>
      </c>
      <c r="N115" s="330"/>
      <c r="O115" s="162">
        <f t="shared" si="17"/>
        <v>0</v>
      </c>
      <c r="P115" s="162">
        <f t="shared" si="18"/>
        <v>0</v>
      </c>
    </row>
    <row r="116" spans="2:16">
      <c r="B116" s="9" t="str">
        <f t="shared" si="9"/>
        <v/>
      </c>
      <c r="C116" s="157">
        <f>IF(D93="","-",+C115+1)</f>
        <v>2031</v>
      </c>
      <c r="D116" s="158">
        <f>IF(F115+SUM(E$99:E115)=D$92,F115,D$92-SUM(E$99:E115))</f>
        <v>1096156</v>
      </c>
      <c r="E116" s="164">
        <f t="shared" si="11"/>
        <v>40131</v>
      </c>
      <c r="F116" s="163">
        <f t="shared" si="12"/>
        <v>1056025</v>
      </c>
      <c r="G116" s="163">
        <f t="shared" si="13"/>
        <v>1076090.5</v>
      </c>
      <c r="H116" s="167">
        <f t="shared" si="14"/>
        <v>150683.76747456158</v>
      </c>
      <c r="I116" s="312">
        <f t="shared" si="15"/>
        <v>150683.76747456158</v>
      </c>
      <c r="J116" s="162">
        <f t="shared" si="10"/>
        <v>0</v>
      </c>
      <c r="K116" s="162"/>
      <c r="L116" s="330"/>
      <c r="M116" s="162">
        <f t="shared" si="16"/>
        <v>0</v>
      </c>
      <c r="N116" s="330"/>
      <c r="O116" s="162">
        <f t="shared" si="17"/>
        <v>0</v>
      </c>
      <c r="P116" s="162">
        <f t="shared" si="18"/>
        <v>0</v>
      </c>
    </row>
    <row r="117" spans="2:16">
      <c r="B117" s="9" t="str">
        <f t="shared" si="9"/>
        <v/>
      </c>
      <c r="C117" s="157">
        <f>IF(D93="","-",+C116+1)</f>
        <v>2032</v>
      </c>
      <c r="D117" s="158">
        <f>IF(F116+SUM(E$99:E116)=D$92,F116,D$92-SUM(E$99:E116))</f>
        <v>1056025</v>
      </c>
      <c r="E117" s="164">
        <f t="shared" si="11"/>
        <v>40131</v>
      </c>
      <c r="F117" s="163">
        <f t="shared" si="12"/>
        <v>1015894</v>
      </c>
      <c r="G117" s="163">
        <f t="shared" si="13"/>
        <v>1035959.5</v>
      </c>
      <c r="H117" s="167">
        <f t="shared" si="14"/>
        <v>146560.88644223055</v>
      </c>
      <c r="I117" s="312">
        <f t="shared" si="15"/>
        <v>146560.88644223055</v>
      </c>
      <c r="J117" s="162">
        <f t="shared" si="10"/>
        <v>0</v>
      </c>
      <c r="K117" s="162"/>
      <c r="L117" s="330"/>
      <c r="M117" s="162">
        <f t="shared" si="16"/>
        <v>0</v>
      </c>
      <c r="N117" s="330"/>
      <c r="O117" s="162">
        <f t="shared" si="17"/>
        <v>0</v>
      </c>
      <c r="P117" s="162">
        <f t="shared" si="18"/>
        <v>0</v>
      </c>
    </row>
    <row r="118" spans="2:16">
      <c r="B118" s="9" t="str">
        <f t="shared" si="9"/>
        <v/>
      </c>
      <c r="C118" s="157">
        <f>IF(D93="","-",+C117+1)</f>
        <v>2033</v>
      </c>
      <c r="D118" s="158">
        <f>IF(F117+SUM(E$99:E117)=D$92,F117,D$92-SUM(E$99:E117))</f>
        <v>1015894</v>
      </c>
      <c r="E118" s="164">
        <f t="shared" si="11"/>
        <v>40131</v>
      </c>
      <c r="F118" s="163">
        <f t="shared" si="12"/>
        <v>975763</v>
      </c>
      <c r="G118" s="163">
        <f t="shared" si="13"/>
        <v>995828.5</v>
      </c>
      <c r="H118" s="167">
        <f t="shared" si="14"/>
        <v>142438.00540989949</v>
      </c>
      <c r="I118" s="312">
        <f t="shared" si="15"/>
        <v>142438.00540989949</v>
      </c>
      <c r="J118" s="162">
        <f t="shared" si="10"/>
        <v>0</v>
      </c>
      <c r="K118" s="162"/>
      <c r="L118" s="330"/>
      <c r="M118" s="162">
        <f t="shared" si="16"/>
        <v>0</v>
      </c>
      <c r="N118" s="330"/>
      <c r="O118" s="162">
        <f t="shared" si="17"/>
        <v>0</v>
      </c>
      <c r="P118" s="162">
        <f t="shared" si="18"/>
        <v>0</v>
      </c>
    </row>
    <row r="119" spans="2:16">
      <c r="B119" s="9" t="str">
        <f t="shared" si="9"/>
        <v/>
      </c>
      <c r="C119" s="157">
        <f>IF(D93="","-",+C118+1)</f>
        <v>2034</v>
      </c>
      <c r="D119" s="158">
        <f>IF(F118+SUM(E$99:E118)=D$92,F118,D$92-SUM(E$99:E118))</f>
        <v>975763</v>
      </c>
      <c r="E119" s="164">
        <f t="shared" si="11"/>
        <v>40131</v>
      </c>
      <c r="F119" s="163">
        <f t="shared" si="12"/>
        <v>935632</v>
      </c>
      <c r="G119" s="163">
        <f t="shared" si="13"/>
        <v>955697.5</v>
      </c>
      <c r="H119" s="167">
        <f t="shared" si="14"/>
        <v>138315.12437756843</v>
      </c>
      <c r="I119" s="312">
        <f t="shared" si="15"/>
        <v>138315.12437756843</v>
      </c>
      <c r="J119" s="162">
        <f t="shared" si="10"/>
        <v>0</v>
      </c>
      <c r="K119" s="162"/>
      <c r="L119" s="330"/>
      <c r="M119" s="162">
        <f t="shared" si="16"/>
        <v>0</v>
      </c>
      <c r="N119" s="330"/>
      <c r="O119" s="162">
        <f t="shared" si="17"/>
        <v>0</v>
      </c>
      <c r="P119" s="162">
        <f t="shared" si="18"/>
        <v>0</v>
      </c>
    </row>
    <row r="120" spans="2:16">
      <c r="B120" s="9" t="str">
        <f t="shared" si="9"/>
        <v/>
      </c>
      <c r="C120" s="157">
        <f>IF(D93="","-",+C119+1)</f>
        <v>2035</v>
      </c>
      <c r="D120" s="158">
        <f>IF(F119+SUM(E$99:E119)=D$92,F119,D$92-SUM(E$99:E119))</f>
        <v>935632</v>
      </c>
      <c r="E120" s="164">
        <f t="shared" si="11"/>
        <v>40131</v>
      </c>
      <c r="F120" s="163">
        <f t="shared" si="12"/>
        <v>895501</v>
      </c>
      <c r="G120" s="163">
        <f t="shared" si="13"/>
        <v>915566.5</v>
      </c>
      <c r="H120" s="167">
        <f t="shared" si="14"/>
        <v>134192.2433452374</v>
      </c>
      <c r="I120" s="312">
        <f t="shared" si="15"/>
        <v>134192.2433452374</v>
      </c>
      <c r="J120" s="162">
        <f t="shared" si="10"/>
        <v>0</v>
      </c>
      <c r="K120" s="162"/>
      <c r="L120" s="330"/>
      <c r="M120" s="162">
        <f t="shared" si="16"/>
        <v>0</v>
      </c>
      <c r="N120" s="330"/>
      <c r="O120" s="162">
        <f t="shared" si="17"/>
        <v>0</v>
      </c>
      <c r="P120" s="162">
        <f t="shared" si="18"/>
        <v>0</v>
      </c>
    </row>
    <row r="121" spans="2:16">
      <c r="B121" s="9" t="str">
        <f t="shared" si="9"/>
        <v/>
      </c>
      <c r="C121" s="157">
        <f>IF(D93="","-",+C120+1)</f>
        <v>2036</v>
      </c>
      <c r="D121" s="158">
        <f>IF(F120+SUM(E$99:E120)=D$92,F120,D$92-SUM(E$99:E120))</f>
        <v>895501</v>
      </c>
      <c r="E121" s="164">
        <f t="shared" si="11"/>
        <v>40131</v>
      </c>
      <c r="F121" s="163">
        <f t="shared" si="12"/>
        <v>855370</v>
      </c>
      <c r="G121" s="163">
        <f t="shared" si="13"/>
        <v>875435.5</v>
      </c>
      <c r="H121" s="167">
        <f t="shared" si="14"/>
        <v>130069.36231290635</v>
      </c>
      <c r="I121" s="312">
        <f t="shared" si="15"/>
        <v>130069.36231290635</v>
      </c>
      <c r="J121" s="162">
        <f t="shared" si="10"/>
        <v>0</v>
      </c>
      <c r="K121" s="162"/>
      <c r="L121" s="330"/>
      <c r="M121" s="162">
        <f t="shared" si="16"/>
        <v>0</v>
      </c>
      <c r="N121" s="330"/>
      <c r="O121" s="162">
        <f t="shared" si="17"/>
        <v>0</v>
      </c>
      <c r="P121" s="162">
        <f t="shared" si="18"/>
        <v>0</v>
      </c>
    </row>
    <row r="122" spans="2:16">
      <c r="B122" s="9" t="str">
        <f t="shared" si="9"/>
        <v/>
      </c>
      <c r="C122" s="157">
        <f>IF(D93="","-",+C121+1)</f>
        <v>2037</v>
      </c>
      <c r="D122" s="158">
        <f>IF(F121+SUM(E$99:E121)=D$92,F121,D$92-SUM(E$99:E121))</f>
        <v>855370</v>
      </c>
      <c r="E122" s="164">
        <f t="shared" si="11"/>
        <v>40131</v>
      </c>
      <c r="F122" s="163">
        <f t="shared" si="12"/>
        <v>815239</v>
      </c>
      <c r="G122" s="163">
        <f t="shared" si="13"/>
        <v>835304.5</v>
      </c>
      <c r="H122" s="167">
        <f t="shared" si="14"/>
        <v>125946.4812805753</v>
      </c>
      <c r="I122" s="312">
        <f t="shared" si="15"/>
        <v>125946.4812805753</v>
      </c>
      <c r="J122" s="162">
        <f t="shared" si="10"/>
        <v>0</v>
      </c>
      <c r="K122" s="162"/>
      <c r="L122" s="330"/>
      <c r="M122" s="162">
        <f t="shared" si="16"/>
        <v>0</v>
      </c>
      <c r="N122" s="330"/>
      <c r="O122" s="162">
        <f t="shared" si="17"/>
        <v>0</v>
      </c>
      <c r="P122" s="162">
        <f t="shared" si="18"/>
        <v>0</v>
      </c>
    </row>
    <row r="123" spans="2:16">
      <c r="B123" s="9" t="str">
        <f t="shared" si="9"/>
        <v/>
      </c>
      <c r="C123" s="157">
        <f>IF(D93="","-",+C122+1)</f>
        <v>2038</v>
      </c>
      <c r="D123" s="158">
        <f>IF(F122+SUM(E$99:E122)=D$92,F122,D$92-SUM(E$99:E122))</f>
        <v>815239</v>
      </c>
      <c r="E123" s="164">
        <f t="shared" si="11"/>
        <v>40131</v>
      </c>
      <c r="F123" s="163">
        <f t="shared" si="12"/>
        <v>775108</v>
      </c>
      <c r="G123" s="163">
        <f t="shared" si="13"/>
        <v>795173.5</v>
      </c>
      <c r="H123" s="167">
        <f t="shared" si="14"/>
        <v>121823.60024824426</v>
      </c>
      <c r="I123" s="312">
        <f t="shared" si="15"/>
        <v>121823.60024824426</v>
      </c>
      <c r="J123" s="162">
        <f t="shared" si="10"/>
        <v>0</v>
      </c>
      <c r="K123" s="162"/>
      <c r="L123" s="330"/>
      <c r="M123" s="162">
        <f t="shared" si="16"/>
        <v>0</v>
      </c>
      <c r="N123" s="330"/>
      <c r="O123" s="162">
        <f t="shared" si="17"/>
        <v>0</v>
      </c>
      <c r="P123" s="162">
        <f t="shared" si="18"/>
        <v>0</v>
      </c>
    </row>
    <row r="124" spans="2:16">
      <c r="B124" s="9" t="str">
        <f t="shared" si="9"/>
        <v/>
      </c>
      <c r="C124" s="157">
        <f>IF(D93="","-",+C123+1)</f>
        <v>2039</v>
      </c>
      <c r="D124" s="158">
        <f>IF(F123+SUM(E$99:E123)=D$92,F123,D$92-SUM(E$99:E123))</f>
        <v>775108</v>
      </c>
      <c r="E124" s="164">
        <f t="shared" si="11"/>
        <v>40131</v>
      </c>
      <c r="F124" s="163">
        <f t="shared" si="12"/>
        <v>734977</v>
      </c>
      <c r="G124" s="163">
        <f t="shared" si="13"/>
        <v>755042.5</v>
      </c>
      <c r="H124" s="167">
        <f t="shared" si="14"/>
        <v>117700.71921591322</v>
      </c>
      <c r="I124" s="312">
        <f t="shared" si="15"/>
        <v>117700.71921591322</v>
      </c>
      <c r="J124" s="162">
        <f t="shared" si="10"/>
        <v>0</v>
      </c>
      <c r="K124" s="162"/>
      <c r="L124" s="330"/>
      <c r="M124" s="162">
        <f t="shared" si="16"/>
        <v>0</v>
      </c>
      <c r="N124" s="330"/>
      <c r="O124" s="162">
        <f t="shared" si="17"/>
        <v>0</v>
      </c>
      <c r="P124" s="162">
        <f t="shared" si="18"/>
        <v>0</v>
      </c>
    </row>
    <row r="125" spans="2:16">
      <c r="B125" s="9" t="str">
        <f t="shared" si="9"/>
        <v/>
      </c>
      <c r="C125" s="157">
        <f>IF(D93="","-",+C124+1)</f>
        <v>2040</v>
      </c>
      <c r="D125" s="158">
        <f>IF(F124+SUM(E$99:E124)=D$92,F124,D$92-SUM(E$99:E124))</f>
        <v>734977</v>
      </c>
      <c r="E125" s="164">
        <f t="shared" si="11"/>
        <v>40131</v>
      </c>
      <c r="F125" s="163">
        <f t="shared" si="12"/>
        <v>694846</v>
      </c>
      <c r="G125" s="163">
        <f t="shared" si="13"/>
        <v>714911.5</v>
      </c>
      <c r="H125" s="167">
        <f t="shared" si="14"/>
        <v>113577.83818358218</v>
      </c>
      <c r="I125" s="312">
        <f t="shared" si="15"/>
        <v>113577.83818358218</v>
      </c>
      <c r="J125" s="162">
        <f t="shared" si="10"/>
        <v>0</v>
      </c>
      <c r="K125" s="162"/>
      <c r="L125" s="330"/>
      <c r="M125" s="162">
        <f t="shared" si="16"/>
        <v>0</v>
      </c>
      <c r="N125" s="330"/>
      <c r="O125" s="162">
        <f t="shared" si="17"/>
        <v>0</v>
      </c>
      <c r="P125" s="162">
        <f t="shared" si="18"/>
        <v>0</v>
      </c>
    </row>
    <row r="126" spans="2:16">
      <c r="B126" s="9" t="str">
        <f t="shared" si="9"/>
        <v/>
      </c>
      <c r="C126" s="157">
        <f>IF(D93="","-",+C125+1)</f>
        <v>2041</v>
      </c>
      <c r="D126" s="158">
        <f>IF(F125+SUM(E$99:E125)=D$92,F125,D$92-SUM(E$99:E125))</f>
        <v>694846</v>
      </c>
      <c r="E126" s="164">
        <f t="shared" si="11"/>
        <v>40131</v>
      </c>
      <c r="F126" s="163">
        <f t="shared" si="12"/>
        <v>654715</v>
      </c>
      <c r="G126" s="163">
        <f t="shared" si="13"/>
        <v>674780.5</v>
      </c>
      <c r="H126" s="167">
        <f t="shared" si="14"/>
        <v>109454.95715125113</v>
      </c>
      <c r="I126" s="312">
        <f t="shared" si="15"/>
        <v>109454.95715125113</v>
      </c>
      <c r="J126" s="162">
        <f t="shared" si="10"/>
        <v>0</v>
      </c>
      <c r="K126" s="162"/>
      <c r="L126" s="330"/>
      <c r="M126" s="162">
        <f t="shared" si="16"/>
        <v>0</v>
      </c>
      <c r="N126" s="330"/>
      <c r="O126" s="162">
        <f t="shared" si="17"/>
        <v>0</v>
      </c>
      <c r="P126" s="162">
        <f t="shared" si="18"/>
        <v>0</v>
      </c>
    </row>
    <row r="127" spans="2:16">
      <c r="B127" s="9" t="str">
        <f t="shared" si="9"/>
        <v/>
      </c>
      <c r="C127" s="157">
        <f>IF(D93="","-",+C126+1)</f>
        <v>2042</v>
      </c>
      <c r="D127" s="158">
        <f>IF(F126+SUM(E$99:E126)=D$92,F126,D$92-SUM(E$99:E126))</f>
        <v>654715</v>
      </c>
      <c r="E127" s="164">
        <f t="shared" si="11"/>
        <v>40131</v>
      </c>
      <c r="F127" s="163">
        <f t="shared" si="12"/>
        <v>614584</v>
      </c>
      <c r="G127" s="163">
        <f t="shared" si="13"/>
        <v>634649.5</v>
      </c>
      <c r="H127" s="167">
        <f t="shared" si="14"/>
        <v>105332.07611892009</v>
      </c>
      <c r="I127" s="312">
        <f t="shared" si="15"/>
        <v>105332.07611892009</v>
      </c>
      <c r="J127" s="162">
        <f t="shared" si="10"/>
        <v>0</v>
      </c>
      <c r="K127" s="162"/>
      <c r="L127" s="330"/>
      <c r="M127" s="162">
        <f t="shared" si="16"/>
        <v>0</v>
      </c>
      <c r="N127" s="330"/>
      <c r="O127" s="162">
        <f t="shared" si="17"/>
        <v>0</v>
      </c>
      <c r="P127" s="162">
        <f t="shared" si="18"/>
        <v>0</v>
      </c>
    </row>
    <row r="128" spans="2:16">
      <c r="B128" s="9" t="str">
        <f t="shared" si="9"/>
        <v/>
      </c>
      <c r="C128" s="157">
        <f>IF(D93="","-",+C127+1)</f>
        <v>2043</v>
      </c>
      <c r="D128" s="158">
        <f>IF(F127+SUM(E$99:E127)=D$92,F127,D$92-SUM(E$99:E127))</f>
        <v>614584</v>
      </c>
      <c r="E128" s="164">
        <f t="shared" si="11"/>
        <v>40131</v>
      </c>
      <c r="F128" s="163">
        <f t="shared" si="12"/>
        <v>574453</v>
      </c>
      <c r="G128" s="163">
        <f t="shared" si="13"/>
        <v>594518.5</v>
      </c>
      <c r="H128" s="167">
        <f t="shared" si="14"/>
        <v>101209.19508658904</v>
      </c>
      <c r="I128" s="312">
        <f t="shared" si="15"/>
        <v>101209.19508658904</v>
      </c>
      <c r="J128" s="162">
        <f t="shared" si="10"/>
        <v>0</v>
      </c>
      <c r="K128" s="162"/>
      <c r="L128" s="330"/>
      <c r="M128" s="162">
        <f t="shared" si="16"/>
        <v>0</v>
      </c>
      <c r="N128" s="330"/>
      <c r="O128" s="162">
        <f t="shared" si="17"/>
        <v>0</v>
      </c>
      <c r="P128" s="162">
        <f t="shared" si="18"/>
        <v>0</v>
      </c>
    </row>
    <row r="129" spans="2:16">
      <c r="B129" s="9" t="str">
        <f t="shared" si="9"/>
        <v/>
      </c>
      <c r="C129" s="157">
        <f>IF(D93="","-",+C128+1)</f>
        <v>2044</v>
      </c>
      <c r="D129" s="158">
        <f>IF(F128+SUM(E$99:E128)=D$92,F128,D$92-SUM(E$99:E128))</f>
        <v>574453</v>
      </c>
      <c r="E129" s="164">
        <f t="shared" si="11"/>
        <v>40131</v>
      </c>
      <c r="F129" s="163">
        <f t="shared" si="12"/>
        <v>534322</v>
      </c>
      <c r="G129" s="163">
        <f t="shared" si="13"/>
        <v>554387.5</v>
      </c>
      <c r="H129" s="167">
        <f t="shared" si="14"/>
        <v>97086.314054257993</v>
      </c>
      <c r="I129" s="312">
        <f t="shared" si="15"/>
        <v>97086.314054257993</v>
      </c>
      <c r="J129" s="162">
        <f t="shared" si="10"/>
        <v>0</v>
      </c>
      <c r="K129" s="162"/>
      <c r="L129" s="330"/>
      <c r="M129" s="162">
        <f t="shared" si="16"/>
        <v>0</v>
      </c>
      <c r="N129" s="330"/>
      <c r="O129" s="162">
        <f t="shared" si="17"/>
        <v>0</v>
      </c>
      <c r="P129" s="162">
        <f t="shared" si="18"/>
        <v>0</v>
      </c>
    </row>
    <row r="130" spans="2:16">
      <c r="B130" s="9" t="str">
        <f t="shared" si="9"/>
        <v/>
      </c>
      <c r="C130" s="157">
        <f>IF(D93="","-",+C129+1)</f>
        <v>2045</v>
      </c>
      <c r="D130" s="158">
        <f>IF(F129+SUM(E$99:E129)=D$92,F129,D$92-SUM(E$99:E129))</f>
        <v>534322</v>
      </c>
      <c r="E130" s="164">
        <f t="shared" si="11"/>
        <v>40131</v>
      </c>
      <c r="F130" s="163">
        <f t="shared" si="12"/>
        <v>494191</v>
      </c>
      <c r="G130" s="163">
        <f t="shared" si="13"/>
        <v>514256.5</v>
      </c>
      <c r="H130" s="167">
        <f t="shared" si="14"/>
        <v>92963.433021926947</v>
      </c>
      <c r="I130" s="312">
        <f t="shared" si="15"/>
        <v>92963.433021926947</v>
      </c>
      <c r="J130" s="162">
        <f t="shared" si="10"/>
        <v>0</v>
      </c>
      <c r="K130" s="162"/>
      <c r="L130" s="330"/>
      <c r="M130" s="162">
        <f t="shared" si="16"/>
        <v>0</v>
      </c>
      <c r="N130" s="330"/>
      <c r="O130" s="162">
        <f t="shared" si="17"/>
        <v>0</v>
      </c>
      <c r="P130" s="162">
        <f t="shared" si="18"/>
        <v>0</v>
      </c>
    </row>
    <row r="131" spans="2:16">
      <c r="B131" s="9" t="str">
        <f t="shared" si="9"/>
        <v/>
      </c>
      <c r="C131" s="157">
        <f>IF(D93="","-",+C130+1)</f>
        <v>2046</v>
      </c>
      <c r="D131" s="158">
        <f>IF(F130+SUM(E$99:E130)=D$92,F130,D$92-SUM(E$99:E130))</f>
        <v>494191</v>
      </c>
      <c r="E131" s="164">
        <f t="shared" si="11"/>
        <v>40131</v>
      </c>
      <c r="F131" s="163">
        <f t="shared" si="12"/>
        <v>454060</v>
      </c>
      <c r="G131" s="163">
        <f t="shared" si="13"/>
        <v>474125.5</v>
      </c>
      <c r="H131" s="167">
        <f t="shared" si="14"/>
        <v>88840.551989595901</v>
      </c>
      <c r="I131" s="312">
        <f t="shared" si="15"/>
        <v>88840.551989595901</v>
      </c>
      <c r="J131" s="162">
        <f t="shared" si="10"/>
        <v>0</v>
      </c>
      <c r="K131" s="162"/>
      <c r="L131" s="330"/>
      <c r="M131" s="162">
        <f t="shared" ref="M131:M154" si="19">IF(L541&lt;&gt;0,+H541-L541,0)</f>
        <v>0</v>
      </c>
      <c r="N131" s="330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9"/>
        <v/>
      </c>
      <c r="C132" s="157">
        <f>IF(D93="","-",+C131+1)</f>
        <v>2047</v>
      </c>
      <c r="D132" s="158">
        <f>IF(F131+SUM(E$99:E131)=D$92,F131,D$92-SUM(E$99:E131))</f>
        <v>454060</v>
      </c>
      <c r="E132" s="164">
        <f t="shared" si="11"/>
        <v>40131</v>
      </c>
      <c r="F132" s="163">
        <f t="shared" si="12"/>
        <v>413929</v>
      </c>
      <c r="G132" s="163">
        <f t="shared" si="13"/>
        <v>433994.5</v>
      </c>
      <c r="H132" s="167">
        <f t="shared" si="14"/>
        <v>84717.670957264854</v>
      </c>
      <c r="I132" s="312">
        <f t="shared" si="15"/>
        <v>84717.670957264854</v>
      </c>
      <c r="J132" s="162">
        <f t="shared" si="10"/>
        <v>0</v>
      </c>
      <c r="K132" s="162"/>
      <c r="L132" s="330"/>
      <c r="M132" s="162">
        <f t="shared" si="19"/>
        <v>0</v>
      </c>
      <c r="N132" s="330"/>
      <c r="O132" s="162">
        <f t="shared" si="20"/>
        <v>0</v>
      </c>
      <c r="P132" s="162">
        <f t="shared" si="21"/>
        <v>0</v>
      </c>
    </row>
    <row r="133" spans="2:16">
      <c r="B133" s="9" t="str">
        <f t="shared" si="9"/>
        <v/>
      </c>
      <c r="C133" s="157">
        <f>IF(D93="","-",+C132+1)</f>
        <v>2048</v>
      </c>
      <c r="D133" s="158">
        <f>IF(F132+SUM(E$99:E132)=D$92,F132,D$92-SUM(E$99:E132))</f>
        <v>413929</v>
      </c>
      <c r="E133" s="164">
        <f t="shared" si="11"/>
        <v>40131</v>
      </c>
      <c r="F133" s="163">
        <f t="shared" si="12"/>
        <v>373798</v>
      </c>
      <c r="G133" s="163">
        <f t="shared" si="13"/>
        <v>393863.5</v>
      </c>
      <c r="H133" s="167">
        <f t="shared" si="14"/>
        <v>80594.789924933808</v>
      </c>
      <c r="I133" s="312">
        <f t="shared" si="15"/>
        <v>80594.789924933808</v>
      </c>
      <c r="J133" s="162">
        <f t="shared" si="10"/>
        <v>0</v>
      </c>
      <c r="K133" s="162"/>
      <c r="L133" s="330"/>
      <c r="M133" s="162">
        <f t="shared" si="19"/>
        <v>0</v>
      </c>
      <c r="N133" s="330"/>
      <c r="O133" s="162">
        <f t="shared" si="20"/>
        <v>0</v>
      </c>
      <c r="P133" s="162">
        <f t="shared" si="21"/>
        <v>0</v>
      </c>
    </row>
    <row r="134" spans="2:16">
      <c r="B134" s="9" t="str">
        <f t="shared" si="9"/>
        <v/>
      </c>
      <c r="C134" s="157">
        <f>IF(D93="","-",+C133+1)</f>
        <v>2049</v>
      </c>
      <c r="D134" s="158">
        <f>IF(F133+SUM(E$99:E133)=D$92,F133,D$92-SUM(E$99:E133))</f>
        <v>373798</v>
      </c>
      <c r="E134" s="164">
        <f t="shared" si="11"/>
        <v>40131</v>
      </c>
      <c r="F134" s="163">
        <f t="shared" si="12"/>
        <v>333667</v>
      </c>
      <c r="G134" s="163">
        <f t="shared" si="13"/>
        <v>353732.5</v>
      </c>
      <c r="H134" s="167">
        <f t="shared" si="14"/>
        <v>76471.908892602762</v>
      </c>
      <c r="I134" s="312">
        <f t="shared" si="15"/>
        <v>76471.908892602762</v>
      </c>
      <c r="J134" s="162">
        <f t="shared" si="10"/>
        <v>0</v>
      </c>
      <c r="K134" s="162"/>
      <c r="L134" s="330"/>
      <c r="M134" s="162">
        <f t="shared" si="19"/>
        <v>0</v>
      </c>
      <c r="N134" s="330"/>
      <c r="O134" s="162">
        <f t="shared" si="20"/>
        <v>0</v>
      </c>
      <c r="P134" s="162">
        <f t="shared" si="21"/>
        <v>0</v>
      </c>
    </row>
    <row r="135" spans="2:16">
      <c r="B135" s="9" t="str">
        <f t="shared" si="9"/>
        <v/>
      </c>
      <c r="C135" s="157">
        <f>IF(D93="","-",+C134+1)</f>
        <v>2050</v>
      </c>
      <c r="D135" s="158">
        <f>IF(F134+SUM(E$99:E134)=D$92,F134,D$92-SUM(E$99:E134))</f>
        <v>333667</v>
      </c>
      <c r="E135" s="164">
        <f t="shared" si="11"/>
        <v>40131</v>
      </c>
      <c r="F135" s="163">
        <f t="shared" si="12"/>
        <v>293536</v>
      </c>
      <c r="G135" s="163">
        <f t="shared" si="13"/>
        <v>313601.5</v>
      </c>
      <c r="H135" s="167">
        <f t="shared" si="14"/>
        <v>72349.027860271715</v>
      </c>
      <c r="I135" s="312">
        <f t="shared" si="15"/>
        <v>72349.027860271715</v>
      </c>
      <c r="J135" s="162">
        <f t="shared" si="10"/>
        <v>0</v>
      </c>
      <c r="K135" s="162"/>
      <c r="L135" s="330"/>
      <c r="M135" s="162">
        <f t="shared" si="19"/>
        <v>0</v>
      </c>
      <c r="N135" s="330"/>
      <c r="O135" s="162">
        <f t="shared" si="20"/>
        <v>0</v>
      </c>
      <c r="P135" s="162">
        <f t="shared" si="21"/>
        <v>0</v>
      </c>
    </row>
    <row r="136" spans="2:16">
      <c r="B136" s="9" t="str">
        <f t="shared" si="9"/>
        <v/>
      </c>
      <c r="C136" s="157">
        <f>IF(D93="","-",+C135+1)</f>
        <v>2051</v>
      </c>
      <c r="D136" s="158">
        <f>IF(F135+SUM(E$99:E135)=D$92,F135,D$92-SUM(E$99:E135))</f>
        <v>293536</v>
      </c>
      <c r="E136" s="164">
        <f t="shared" si="11"/>
        <v>40131</v>
      </c>
      <c r="F136" s="163">
        <f t="shared" si="12"/>
        <v>253405</v>
      </c>
      <c r="G136" s="163">
        <f t="shared" si="13"/>
        <v>273470.5</v>
      </c>
      <c r="H136" s="167">
        <f t="shared" si="14"/>
        <v>68226.146827940669</v>
      </c>
      <c r="I136" s="312">
        <f t="shared" si="15"/>
        <v>68226.146827940669</v>
      </c>
      <c r="J136" s="162">
        <f t="shared" si="10"/>
        <v>0</v>
      </c>
      <c r="K136" s="162"/>
      <c r="L136" s="330"/>
      <c r="M136" s="162">
        <f t="shared" si="19"/>
        <v>0</v>
      </c>
      <c r="N136" s="330"/>
      <c r="O136" s="162">
        <f t="shared" si="20"/>
        <v>0</v>
      </c>
      <c r="P136" s="162">
        <f t="shared" si="21"/>
        <v>0</v>
      </c>
    </row>
    <row r="137" spans="2:16">
      <c r="B137" s="9" t="str">
        <f t="shared" si="9"/>
        <v/>
      </c>
      <c r="C137" s="157">
        <f>IF(D93="","-",+C136+1)</f>
        <v>2052</v>
      </c>
      <c r="D137" s="158">
        <f>IF(F136+SUM(E$99:E136)=D$92,F136,D$92-SUM(E$99:E136))</f>
        <v>253405</v>
      </c>
      <c r="E137" s="164">
        <f t="shared" si="11"/>
        <v>40131</v>
      </c>
      <c r="F137" s="163">
        <f t="shared" si="12"/>
        <v>213274</v>
      </c>
      <c r="G137" s="163">
        <f t="shared" si="13"/>
        <v>233339.5</v>
      </c>
      <c r="H137" s="167">
        <f t="shared" si="14"/>
        <v>64103.265795609623</v>
      </c>
      <c r="I137" s="312">
        <f t="shared" si="15"/>
        <v>64103.265795609623</v>
      </c>
      <c r="J137" s="162">
        <f t="shared" si="10"/>
        <v>0</v>
      </c>
      <c r="K137" s="162"/>
      <c r="L137" s="330"/>
      <c r="M137" s="162">
        <f t="shared" si="19"/>
        <v>0</v>
      </c>
      <c r="N137" s="330"/>
      <c r="O137" s="162">
        <f t="shared" si="20"/>
        <v>0</v>
      </c>
      <c r="P137" s="162">
        <f t="shared" si="21"/>
        <v>0</v>
      </c>
    </row>
    <row r="138" spans="2:16">
      <c r="B138" s="9" t="str">
        <f t="shared" si="9"/>
        <v/>
      </c>
      <c r="C138" s="157">
        <f>IF(D93="","-",+C137+1)</f>
        <v>2053</v>
      </c>
      <c r="D138" s="158">
        <f>IF(F137+SUM(E$99:E137)=D$92,F137,D$92-SUM(E$99:E137))</f>
        <v>213274</v>
      </c>
      <c r="E138" s="164">
        <f t="shared" si="11"/>
        <v>40131</v>
      </c>
      <c r="F138" s="163">
        <f t="shared" si="12"/>
        <v>173143</v>
      </c>
      <c r="G138" s="163">
        <f t="shared" si="13"/>
        <v>193208.5</v>
      </c>
      <c r="H138" s="167">
        <f t="shared" si="14"/>
        <v>59980.384763278584</v>
      </c>
      <c r="I138" s="312">
        <f t="shared" si="15"/>
        <v>59980.384763278584</v>
      </c>
      <c r="J138" s="162">
        <f t="shared" si="10"/>
        <v>0</v>
      </c>
      <c r="K138" s="162"/>
      <c r="L138" s="330"/>
      <c r="M138" s="162">
        <f t="shared" si="19"/>
        <v>0</v>
      </c>
      <c r="N138" s="330"/>
      <c r="O138" s="162">
        <f t="shared" si="20"/>
        <v>0</v>
      </c>
      <c r="P138" s="162">
        <f t="shared" si="21"/>
        <v>0</v>
      </c>
    </row>
    <row r="139" spans="2:16">
      <c r="B139" s="9" t="str">
        <f t="shared" si="9"/>
        <v/>
      </c>
      <c r="C139" s="157">
        <f>IF(D93="","-",+C138+1)</f>
        <v>2054</v>
      </c>
      <c r="D139" s="158">
        <f>IF(F138+SUM(E$99:E138)=D$92,F138,D$92-SUM(E$99:E138))</f>
        <v>173143</v>
      </c>
      <c r="E139" s="164">
        <f t="shared" si="11"/>
        <v>40131</v>
      </c>
      <c r="F139" s="163">
        <f t="shared" si="12"/>
        <v>133012</v>
      </c>
      <c r="G139" s="163">
        <f t="shared" si="13"/>
        <v>153077.5</v>
      </c>
      <c r="H139" s="167">
        <f t="shared" si="14"/>
        <v>55857.503730947537</v>
      </c>
      <c r="I139" s="312">
        <f t="shared" si="15"/>
        <v>55857.503730947537</v>
      </c>
      <c r="J139" s="162">
        <f t="shared" si="10"/>
        <v>0</v>
      </c>
      <c r="K139" s="162"/>
      <c r="L139" s="330"/>
      <c r="M139" s="162">
        <f t="shared" si="19"/>
        <v>0</v>
      </c>
      <c r="N139" s="330"/>
      <c r="O139" s="162">
        <f t="shared" si="20"/>
        <v>0</v>
      </c>
      <c r="P139" s="162">
        <f t="shared" si="21"/>
        <v>0</v>
      </c>
    </row>
    <row r="140" spans="2:16">
      <c r="B140" s="9" t="str">
        <f t="shared" si="9"/>
        <v/>
      </c>
      <c r="C140" s="157">
        <f>IF(D93="","-",+C139+1)</f>
        <v>2055</v>
      </c>
      <c r="D140" s="158">
        <f>IF(F139+SUM(E$99:E139)=D$92,F139,D$92-SUM(E$99:E139))</f>
        <v>133012</v>
      </c>
      <c r="E140" s="164">
        <f t="shared" si="11"/>
        <v>40131</v>
      </c>
      <c r="F140" s="163">
        <f t="shared" si="12"/>
        <v>92881</v>
      </c>
      <c r="G140" s="163">
        <f t="shared" si="13"/>
        <v>112946.5</v>
      </c>
      <c r="H140" s="167">
        <f t="shared" si="14"/>
        <v>51734.622698616491</v>
      </c>
      <c r="I140" s="312">
        <f t="shared" si="15"/>
        <v>51734.622698616491</v>
      </c>
      <c r="J140" s="162">
        <f t="shared" si="10"/>
        <v>0</v>
      </c>
      <c r="K140" s="162"/>
      <c r="L140" s="330"/>
      <c r="M140" s="162">
        <f t="shared" si="19"/>
        <v>0</v>
      </c>
      <c r="N140" s="330"/>
      <c r="O140" s="162">
        <f t="shared" si="20"/>
        <v>0</v>
      </c>
      <c r="P140" s="162">
        <f t="shared" si="21"/>
        <v>0</v>
      </c>
    </row>
    <row r="141" spans="2:16">
      <c r="B141" s="9" t="str">
        <f t="shared" si="9"/>
        <v/>
      </c>
      <c r="C141" s="157">
        <f>IF(D93="","-",+C140+1)</f>
        <v>2056</v>
      </c>
      <c r="D141" s="158">
        <f>IF(F140+SUM(E$99:E140)=D$92,F140,D$92-SUM(E$99:E140))</f>
        <v>92881</v>
      </c>
      <c r="E141" s="164">
        <f t="shared" si="11"/>
        <v>40131</v>
      </c>
      <c r="F141" s="163">
        <f t="shared" si="12"/>
        <v>52750</v>
      </c>
      <c r="G141" s="163">
        <f t="shared" si="13"/>
        <v>72815.5</v>
      </c>
      <c r="H141" s="167">
        <f t="shared" si="14"/>
        <v>47611.741666285445</v>
      </c>
      <c r="I141" s="312">
        <f t="shared" si="15"/>
        <v>47611.741666285445</v>
      </c>
      <c r="J141" s="162">
        <f t="shared" si="10"/>
        <v>0</v>
      </c>
      <c r="K141" s="162"/>
      <c r="L141" s="330"/>
      <c r="M141" s="162">
        <f t="shared" si="19"/>
        <v>0</v>
      </c>
      <c r="N141" s="330"/>
      <c r="O141" s="162">
        <f t="shared" si="20"/>
        <v>0</v>
      </c>
      <c r="P141" s="162">
        <f t="shared" si="21"/>
        <v>0</v>
      </c>
    </row>
    <row r="142" spans="2:16">
      <c r="B142" s="9" t="str">
        <f t="shared" si="9"/>
        <v/>
      </c>
      <c r="C142" s="157">
        <f>IF(D93="","-",+C141+1)</f>
        <v>2057</v>
      </c>
      <c r="D142" s="158">
        <f>IF(F141+SUM(E$99:E141)=D$92,F141,D$92-SUM(E$99:E141))</f>
        <v>52750</v>
      </c>
      <c r="E142" s="164">
        <f t="shared" si="11"/>
        <v>40131</v>
      </c>
      <c r="F142" s="163">
        <f t="shared" si="12"/>
        <v>12619</v>
      </c>
      <c r="G142" s="163">
        <f t="shared" si="13"/>
        <v>32684.5</v>
      </c>
      <c r="H142" s="167">
        <f t="shared" si="14"/>
        <v>43488.860633954399</v>
      </c>
      <c r="I142" s="312">
        <f t="shared" si="15"/>
        <v>43488.860633954399</v>
      </c>
      <c r="J142" s="162">
        <f t="shared" si="10"/>
        <v>0</v>
      </c>
      <c r="K142" s="162"/>
      <c r="L142" s="330"/>
      <c r="M142" s="162">
        <f t="shared" si="19"/>
        <v>0</v>
      </c>
      <c r="N142" s="330"/>
      <c r="O142" s="162">
        <f t="shared" si="20"/>
        <v>0</v>
      </c>
      <c r="P142" s="162">
        <f t="shared" si="21"/>
        <v>0</v>
      </c>
    </row>
    <row r="143" spans="2:16">
      <c r="B143" s="9" t="str">
        <f t="shared" si="9"/>
        <v/>
      </c>
      <c r="C143" s="157">
        <f>IF(D93="","-",+C142+1)</f>
        <v>2058</v>
      </c>
      <c r="D143" s="158">
        <f>IF(F142+SUM(E$99:E142)=D$92,F142,D$92-SUM(E$99:E142))</f>
        <v>12619</v>
      </c>
      <c r="E143" s="164">
        <f t="shared" si="11"/>
        <v>12619</v>
      </c>
      <c r="F143" s="163">
        <f t="shared" si="12"/>
        <v>0</v>
      </c>
      <c r="G143" s="163">
        <f t="shared" si="13"/>
        <v>6309.5</v>
      </c>
      <c r="H143" s="167">
        <f t="shared" si="14"/>
        <v>13267.210058894439</v>
      </c>
      <c r="I143" s="312">
        <f t="shared" si="15"/>
        <v>13267.210058894439</v>
      </c>
      <c r="J143" s="162">
        <f t="shared" si="10"/>
        <v>0</v>
      </c>
      <c r="K143" s="162"/>
      <c r="L143" s="330"/>
      <c r="M143" s="162">
        <f t="shared" si="19"/>
        <v>0</v>
      </c>
      <c r="N143" s="330"/>
      <c r="O143" s="162">
        <f t="shared" si="20"/>
        <v>0</v>
      </c>
      <c r="P143" s="162">
        <f t="shared" si="21"/>
        <v>0</v>
      </c>
    </row>
    <row r="144" spans="2:16">
      <c r="B144" s="9" t="str">
        <f t="shared" si="9"/>
        <v/>
      </c>
      <c r="C144" s="157">
        <f>IF(D93="","-",+C143+1)</f>
        <v>2059</v>
      </c>
      <c r="D144" s="158">
        <f>IF(F143+SUM(E$99:E143)=D$92,F143,D$92-SUM(E$99:E143))</f>
        <v>0</v>
      </c>
      <c r="E144" s="164">
        <f t="shared" si="11"/>
        <v>0</v>
      </c>
      <c r="F144" s="163">
        <f t="shared" si="12"/>
        <v>0</v>
      </c>
      <c r="G144" s="163">
        <f t="shared" si="13"/>
        <v>0</v>
      </c>
      <c r="H144" s="167">
        <f t="shared" si="14"/>
        <v>0</v>
      </c>
      <c r="I144" s="312">
        <f t="shared" si="15"/>
        <v>0</v>
      </c>
      <c r="J144" s="162">
        <f t="shared" si="10"/>
        <v>0</v>
      </c>
      <c r="K144" s="162"/>
      <c r="L144" s="330"/>
      <c r="M144" s="162">
        <f t="shared" si="19"/>
        <v>0</v>
      </c>
      <c r="N144" s="330"/>
      <c r="O144" s="162">
        <f t="shared" si="20"/>
        <v>0</v>
      </c>
      <c r="P144" s="162">
        <f t="shared" si="21"/>
        <v>0</v>
      </c>
    </row>
    <row r="145" spans="2:16">
      <c r="B145" s="9" t="str">
        <f t="shared" si="9"/>
        <v/>
      </c>
      <c r="C145" s="157">
        <f>IF(D93="","-",+C144+1)</f>
        <v>2060</v>
      </c>
      <c r="D145" s="158">
        <f>IF(F144+SUM(E$99:E144)=D$92,F144,D$92-SUM(E$99:E144))</f>
        <v>0</v>
      </c>
      <c r="E145" s="164">
        <f t="shared" si="11"/>
        <v>0</v>
      </c>
      <c r="F145" s="163">
        <f t="shared" si="12"/>
        <v>0</v>
      </c>
      <c r="G145" s="163">
        <f t="shared" si="13"/>
        <v>0</v>
      </c>
      <c r="H145" s="167">
        <f t="shared" si="14"/>
        <v>0</v>
      </c>
      <c r="I145" s="312">
        <f t="shared" si="15"/>
        <v>0</v>
      </c>
      <c r="J145" s="162">
        <f t="shared" si="10"/>
        <v>0</v>
      </c>
      <c r="K145" s="162"/>
      <c r="L145" s="330"/>
      <c r="M145" s="162">
        <f t="shared" si="19"/>
        <v>0</v>
      </c>
      <c r="N145" s="330"/>
      <c r="O145" s="162">
        <f t="shared" si="20"/>
        <v>0</v>
      </c>
      <c r="P145" s="162">
        <f t="shared" si="21"/>
        <v>0</v>
      </c>
    </row>
    <row r="146" spans="2:16">
      <c r="B146" s="9" t="str">
        <f t="shared" si="9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1"/>
        <v>0</v>
      </c>
      <c r="F146" s="163">
        <f t="shared" si="12"/>
        <v>0</v>
      </c>
      <c r="G146" s="163">
        <f t="shared" si="13"/>
        <v>0</v>
      </c>
      <c r="H146" s="167">
        <f t="shared" si="14"/>
        <v>0</v>
      </c>
      <c r="I146" s="312">
        <f t="shared" si="15"/>
        <v>0</v>
      </c>
      <c r="J146" s="162">
        <f t="shared" si="10"/>
        <v>0</v>
      </c>
      <c r="K146" s="162"/>
      <c r="L146" s="330"/>
      <c r="M146" s="162">
        <f t="shared" si="19"/>
        <v>0</v>
      </c>
      <c r="N146" s="330"/>
      <c r="O146" s="162">
        <f t="shared" si="20"/>
        <v>0</v>
      </c>
      <c r="P146" s="162">
        <f t="shared" si="21"/>
        <v>0</v>
      </c>
    </row>
    <row r="147" spans="2:16">
      <c r="B147" s="9" t="str">
        <f t="shared" si="9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1"/>
        <v>0</v>
      </c>
      <c r="F147" s="163">
        <f t="shared" si="12"/>
        <v>0</v>
      </c>
      <c r="G147" s="163">
        <f t="shared" si="13"/>
        <v>0</v>
      </c>
      <c r="H147" s="167">
        <f t="shared" si="14"/>
        <v>0</v>
      </c>
      <c r="I147" s="312">
        <f t="shared" si="15"/>
        <v>0</v>
      </c>
      <c r="J147" s="162">
        <f t="shared" si="10"/>
        <v>0</v>
      </c>
      <c r="K147" s="162"/>
      <c r="L147" s="330"/>
      <c r="M147" s="162">
        <f t="shared" si="19"/>
        <v>0</v>
      </c>
      <c r="N147" s="330"/>
      <c r="O147" s="162">
        <f t="shared" si="20"/>
        <v>0</v>
      </c>
      <c r="P147" s="162">
        <f t="shared" si="21"/>
        <v>0</v>
      </c>
    </row>
    <row r="148" spans="2:16">
      <c r="B148" s="9" t="str">
        <f t="shared" si="9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1"/>
        <v>0</v>
      </c>
      <c r="F148" s="163">
        <f t="shared" si="12"/>
        <v>0</v>
      </c>
      <c r="G148" s="163">
        <f t="shared" si="13"/>
        <v>0</v>
      </c>
      <c r="H148" s="167">
        <f t="shared" si="14"/>
        <v>0</v>
      </c>
      <c r="I148" s="312">
        <f t="shared" si="15"/>
        <v>0</v>
      </c>
      <c r="J148" s="162">
        <f t="shared" si="10"/>
        <v>0</v>
      </c>
      <c r="K148" s="162"/>
      <c r="L148" s="330"/>
      <c r="M148" s="162">
        <f t="shared" si="19"/>
        <v>0</v>
      </c>
      <c r="N148" s="330"/>
      <c r="O148" s="162">
        <f t="shared" si="20"/>
        <v>0</v>
      </c>
      <c r="P148" s="162">
        <f t="shared" si="21"/>
        <v>0</v>
      </c>
    </row>
    <row r="149" spans="2:16">
      <c r="B149" s="9" t="str">
        <f t="shared" si="9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1"/>
        <v>0</v>
      </c>
      <c r="F149" s="163">
        <f t="shared" si="12"/>
        <v>0</v>
      </c>
      <c r="G149" s="163">
        <f t="shared" si="13"/>
        <v>0</v>
      </c>
      <c r="H149" s="167">
        <f t="shared" si="14"/>
        <v>0</v>
      </c>
      <c r="I149" s="312">
        <f t="shared" si="15"/>
        <v>0</v>
      </c>
      <c r="J149" s="162">
        <f t="shared" si="10"/>
        <v>0</v>
      </c>
      <c r="K149" s="162"/>
      <c r="L149" s="330"/>
      <c r="M149" s="162">
        <f t="shared" si="19"/>
        <v>0</v>
      </c>
      <c r="N149" s="330"/>
      <c r="O149" s="162">
        <f t="shared" si="20"/>
        <v>0</v>
      </c>
      <c r="P149" s="162">
        <f t="shared" si="21"/>
        <v>0</v>
      </c>
    </row>
    <row r="150" spans="2:16">
      <c r="B150" s="9" t="str">
        <f t="shared" si="9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1"/>
        <v>0</v>
      </c>
      <c r="F150" s="163">
        <f t="shared" si="12"/>
        <v>0</v>
      </c>
      <c r="G150" s="163">
        <f t="shared" si="13"/>
        <v>0</v>
      </c>
      <c r="H150" s="167">
        <f t="shared" si="14"/>
        <v>0</v>
      </c>
      <c r="I150" s="312">
        <f t="shared" si="15"/>
        <v>0</v>
      </c>
      <c r="J150" s="162">
        <f t="shared" si="10"/>
        <v>0</v>
      </c>
      <c r="K150" s="162"/>
      <c r="L150" s="330"/>
      <c r="M150" s="162">
        <f t="shared" si="19"/>
        <v>0</v>
      </c>
      <c r="N150" s="330"/>
      <c r="O150" s="162">
        <f t="shared" si="20"/>
        <v>0</v>
      </c>
      <c r="P150" s="162">
        <f t="shared" si="21"/>
        <v>0</v>
      </c>
    </row>
    <row r="151" spans="2:16">
      <c r="B151" s="9" t="str">
        <f t="shared" si="9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1"/>
        <v>0</v>
      </c>
      <c r="F151" s="163">
        <f t="shared" si="12"/>
        <v>0</v>
      </c>
      <c r="G151" s="163">
        <f t="shared" si="13"/>
        <v>0</v>
      </c>
      <c r="H151" s="167">
        <f t="shared" si="14"/>
        <v>0</v>
      </c>
      <c r="I151" s="312">
        <f t="shared" si="15"/>
        <v>0</v>
      </c>
      <c r="J151" s="162">
        <f t="shared" si="10"/>
        <v>0</v>
      </c>
      <c r="K151" s="162"/>
      <c r="L151" s="330"/>
      <c r="M151" s="162">
        <f t="shared" si="19"/>
        <v>0</v>
      </c>
      <c r="N151" s="330"/>
      <c r="O151" s="162">
        <f t="shared" si="20"/>
        <v>0</v>
      </c>
      <c r="P151" s="162">
        <f t="shared" si="21"/>
        <v>0</v>
      </c>
    </row>
    <row r="152" spans="2:16">
      <c r="B152" s="9" t="str">
        <f t="shared" si="9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1"/>
        <v>0</v>
      </c>
      <c r="F152" s="163">
        <f t="shared" si="12"/>
        <v>0</v>
      </c>
      <c r="G152" s="163">
        <f t="shared" si="13"/>
        <v>0</v>
      </c>
      <c r="H152" s="167">
        <f t="shared" si="14"/>
        <v>0</v>
      </c>
      <c r="I152" s="312">
        <f t="shared" si="15"/>
        <v>0</v>
      </c>
      <c r="J152" s="162">
        <f t="shared" si="10"/>
        <v>0</v>
      </c>
      <c r="K152" s="162"/>
      <c r="L152" s="330"/>
      <c r="M152" s="162">
        <f t="shared" si="19"/>
        <v>0</v>
      </c>
      <c r="N152" s="330"/>
      <c r="O152" s="162">
        <f t="shared" si="20"/>
        <v>0</v>
      </c>
      <c r="P152" s="162">
        <f t="shared" si="21"/>
        <v>0</v>
      </c>
    </row>
    <row r="153" spans="2:16">
      <c r="B153" s="9" t="str">
        <f t="shared" si="9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1"/>
        <v>0</v>
      </c>
      <c r="F153" s="163">
        <f t="shared" si="12"/>
        <v>0</v>
      </c>
      <c r="G153" s="163">
        <f t="shared" si="13"/>
        <v>0</v>
      </c>
      <c r="H153" s="167">
        <f t="shared" si="14"/>
        <v>0</v>
      </c>
      <c r="I153" s="312">
        <f t="shared" si="15"/>
        <v>0</v>
      </c>
      <c r="J153" s="162">
        <f t="shared" si="10"/>
        <v>0</v>
      </c>
      <c r="K153" s="162"/>
      <c r="L153" s="330"/>
      <c r="M153" s="162">
        <f t="shared" si="19"/>
        <v>0</v>
      </c>
      <c r="N153" s="330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9"/>
        <v/>
      </c>
      <c r="C154" s="168">
        <f>IF(D93="","-",+C153+1)</f>
        <v>2069</v>
      </c>
      <c r="D154" s="383">
        <f>IF(F153+SUM(E$99:E153)=D$92,F153,D$92-SUM(E$99:E153))</f>
        <v>0</v>
      </c>
      <c r="E154" s="170">
        <f t="shared" si="11"/>
        <v>0</v>
      </c>
      <c r="F154" s="169">
        <f t="shared" si="12"/>
        <v>0</v>
      </c>
      <c r="G154" s="169">
        <f t="shared" si="13"/>
        <v>0</v>
      </c>
      <c r="H154" s="171">
        <f t="shared" si="14"/>
        <v>0</v>
      </c>
      <c r="I154" s="313">
        <f t="shared" si="15"/>
        <v>0</v>
      </c>
      <c r="J154" s="173">
        <f t="shared" si="10"/>
        <v>0</v>
      </c>
      <c r="K154" s="162"/>
      <c r="L154" s="331"/>
      <c r="M154" s="173">
        <f t="shared" si="19"/>
        <v>0</v>
      </c>
      <c r="N154" s="331"/>
      <c r="O154" s="173">
        <f t="shared" si="20"/>
        <v>0</v>
      </c>
      <c r="P154" s="173">
        <f t="shared" si="21"/>
        <v>0</v>
      </c>
    </row>
    <row r="155" spans="2:16">
      <c r="C155" s="158" t="s">
        <v>77</v>
      </c>
      <c r="D155" s="115"/>
      <c r="E155" s="115">
        <f>SUM(E99:E154)</f>
        <v>1725647</v>
      </c>
      <c r="F155" s="115"/>
      <c r="G155" s="115"/>
      <c r="H155" s="115">
        <f>SUM(H99:H154)</f>
        <v>5727304.478392004</v>
      </c>
      <c r="I155" s="115">
        <f>SUM(I99:I154)</f>
        <v>5727304.478392004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view="pageBreakPreview" zoomScale="78" zoomScaleNormal="100" zoomScaleSheetLayoutView="78" workbookViewId="0">
      <selection activeCell="D18" sqref="D18:H1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19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205998.2169756256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205998.2169756256</v>
      </c>
      <c r="O6" s="1"/>
      <c r="P6" s="1"/>
    </row>
    <row r="7" spans="1:16" ht="13.5" thickBot="1">
      <c r="C7" s="127" t="s">
        <v>46</v>
      </c>
      <c r="D7" s="227" t="s">
        <v>281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296</v>
      </c>
      <c r="E9" s="406" t="s">
        <v>297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1338978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3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29755.066666666666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2017</v>
      </c>
      <c r="D17" s="413">
        <v>0</v>
      </c>
      <c r="E17" s="418">
        <v>21831.16304347826</v>
      </c>
      <c r="F17" s="413">
        <v>1317146.8369565217</v>
      </c>
      <c r="G17" s="418">
        <v>105641.6474528401</v>
      </c>
      <c r="H17" s="416">
        <v>105641.6474528401</v>
      </c>
      <c r="I17" s="160">
        <f t="shared" ref="I17:I72" si="0">H17-G17</f>
        <v>0</v>
      </c>
      <c r="J17" s="160"/>
      <c r="K17" s="161">
        <f>+G17</f>
        <v>105641.6474528401</v>
      </c>
      <c r="L17" s="161">
        <f t="shared" ref="L17:L72" si="1">IF(K17&lt;&gt;0,+G17-K17,0)</f>
        <v>0</v>
      </c>
      <c r="M17" s="161">
        <f>+H17</f>
        <v>105641.6474528401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13">
        <v>1317146.8369565217</v>
      </c>
      <c r="E18" s="414">
        <v>29755.066666666666</v>
      </c>
      <c r="F18" s="413">
        <v>1287391.7702898551</v>
      </c>
      <c r="G18" s="414">
        <v>205998.2169756256</v>
      </c>
      <c r="H18" s="416">
        <v>205998.2169756256</v>
      </c>
      <c r="I18" s="160">
        <f t="shared" si="0"/>
        <v>0</v>
      </c>
      <c r="J18" s="160"/>
      <c r="K18" s="162">
        <f>+G18</f>
        <v>205998.2169756256</v>
      </c>
      <c r="L18" s="162">
        <f t="shared" si="1"/>
        <v>0</v>
      </c>
      <c r="M18" s="162">
        <f>+H18</f>
        <v>205998.2169756256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1287391.7702898551</v>
      </c>
      <c r="E19" s="164">
        <f t="shared" ref="E19:E72" si="4">IF(+I$14&lt;F18,I$14,D19)</f>
        <v>29755.066666666666</v>
      </c>
      <c r="F19" s="163">
        <f t="shared" ref="F19:F72" si="5">+D19-E19</f>
        <v>1257636.7036231884</v>
      </c>
      <c r="G19" s="165">
        <f t="shared" ref="G19:G72" si="6">(D19+F19)/2*I$12+E19</f>
        <v>201971.30282476899</v>
      </c>
      <c r="H19" s="147">
        <f t="shared" ref="H19:H72" si="7">+(D19+F19)/2*I$13+E19</f>
        <v>201971.30282476899</v>
      </c>
      <c r="I19" s="160">
        <f t="shared" si="0"/>
        <v>0</v>
      </c>
      <c r="J19" s="160"/>
      <c r="K19" s="330"/>
      <c r="L19" s="162">
        <f t="shared" si="1"/>
        <v>0</v>
      </c>
      <c r="M19" s="330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1257636.7036231884</v>
      </c>
      <c r="E20" s="164">
        <f t="shared" si="4"/>
        <v>29755.066666666666</v>
      </c>
      <c r="F20" s="163">
        <f t="shared" si="5"/>
        <v>1227881.6369565218</v>
      </c>
      <c r="G20" s="165">
        <f t="shared" si="6"/>
        <v>197944.38867391233</v>
      </c>
      <c r="H20" s="147">
        <f t="shared" si="7"/>
        <v>197944.38867391233</v>
      </c>
      <c r="I20" s="160">
        <f t="shared" si="0"/>
        <v>0</v>
      </c>
      <c r="J20" s="160"/>
      <c r="K20" s="330"/>
      <c r="L20" s="162">
        <f t="shared" si="1"/>
        <v>0</v>
      </c>
      <c r="M20" s="330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1227881.6369565218</v>
      </c>
      <c r="E21" s="164">
        <f t="shared" si="4"/>
        <v>29755.066666666666</v>
      </c>
      <c r="F21" s="163">
        <f t="shared" si="5"/>
        <v>1198126.5702898551</v>
      </c>
      <c r="G21" s="165">
        <f t="shared" si="6"/>
        <v>193917.47452305572</v>
      </c>
      <c r="H21" s="147">
        <f t="shared" si="7"/>
        <v>193917.47452305572</v>
      </c>
      <c r="I21" s="160">
        <f t="shared" si="0"/>
        <v>0</v>
      </c>
      <c r="J21" s="160"/>
      <c r="K21" s="330"/>
      <c r="L21" s="162">
        <f t="shared" si="1"/>
        <v>0</v>
      </c>
      <c r="M21" s="330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1198126.5702898551</v>
      </c>
      <c r="E22" s="164">
        <f t="shared" si="4"/>
        <v>29755.066666666666</v>
      </c>
      <c r="F22" s="163">
        <f t="shared" si="5"/>
        <v>1168371.5036231885</v>
      </c>
      <c r="G22" s="165">
        <f t="shared" si="6"/>
        <v>189890.56037219905</v>
      </c>
      <c r="H22" s="147">
        <f t="shared" si="7"/>
        <v>189890.56037219905</v>
      </c>
      <c r="I22" s="160">
        <f t="shared" si="0"/>
        <v>0</v>
      </c>
      <c r="J22" s="160"/>
      <c r="K22" s="330"/>
      <c r="L22" s="162">
        <f t="shared" si="1"/>
        <v>0</v>
      </c>
      <c r="M22" s="330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1168371.5036231885</v>
      </c>
      <c r="E23" s="164">
        <f t="shared" si="4"/>
        <v>29755.066666666666</v>
      </c>
      <c r="F23" s="163">
        <f t="shared" si="5"/>
        <v>1138616.4369565218</v>
      </c>
      <c r="G23" s="165">
        <f t="shared" si="6"/>
        <v>185863.6462213425</v>
      </c>
      <c r="H23" s="147">
        <f t="shared" si="7"/>
        <v>185863.6462213425</v>
      </c>
      <c r="I23" s="160">
        <f t="shared" si="0"/>
        <v>0</v>
      </c>
      <c r="J23" s="160"/>
      <c r="K23" s="330"/>
      <c r="L23" s="162">
        <f t="shared" si="1"/>
        <v>0</v>
      </c>
      <c r="M23" s="330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1138616.4369565218</v>
      </c>
      <c r="E24" s="164">
        <f t="shared" si="4"/>
        <v>29755.066666666666</v>
      </c>
      <c r="F24" s="163">
        <f t="shared" si="5"/>
        <v>1108861.3702898552</v>
      </c>
      <c r="G24" s="165">
        <f t="shared" si="6"/>
        <v>181836.73207048583</v>
      </c>
      <c r="H24" s="147">
        <f t="shared" si="7"/>
        <v>181836.73207048583</v>
      </c>
      <c r="I24" s="160">
        <f t="shared" si="0"/>
        <v>0</v>
      </c>
      <c r="J24" s="160"/>
      <c r="K24" s="330"/>
      <c r="L24" s="162">
        <f t="shared" si="1"/>
        <v>0</v>
      </c>
      <c r="M24" s="330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1108861.3702898552</v>
      </c>
      <c r="E25" s="164">
        <f t="shared" si="4"/>
        <v>29755.066666666666</v>
      </c>
      <c r="F25" s="163">
        <f t="shared" si="5"/>
        <v>1079106.3036231885</v>
      </c>
      <c r="G25" s="165">
        <f t="shared" si="6"/>
        <v>177809.81791962922</v>
      </c>
      <c r="H25" s="147">
        <f t="shared" si="7"/>
        <v>177809.81791962922</v>
      </c>
      <c r="I25" s="160">
        <f t="shared" si="0"/>
        <v>0</v>
      </c>
      <c r="J25" s="160"/>
      <c r="K25" s="330"/>
      <c r="L25" s="162">
        <f t="shared" si="1"/>
        <v>0</v>
      </c>
      <c r="M25" s="330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1079106.3036231885</v>
      </c>
      <c r="E26" s="164">
        <f t="shared" si="4"/>
        <v>29755.066666666666</v>
      </c>
      <c r="F26" s="163">
        <f t="shared" si="5"/>
        <v>1049351.2369565219</v>
      </c>
      <c r="G26" s="165">
        <f t="shared" si="6"/>
        <v>173782.90376877255</v>
      </c>
      <c r="H26" s="147">
        <f t="shared" si="7"/>
        <v>173782.90376877255</v>
      </c>
      <c r="I26" s="160">
        <f t="shared" si="0"/>
        <v>0</v>
      </c>
      <c r="J26" s="160"/>
      <c r="K26" s="330"/>
      <c r="L26" s="162">
        <f t="shared" si="1"/>
        <v>0</v>
      </c>
      <c r="M26" s="330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1049351.2369565219</v>
      </c>
      <c r="E27" s="164">
        <f t="shared" si="4"/>
        <v>29755.066666666666</v>
      </c>
      <c r="F27" s="163">
        <f t="shared" si="5"/>
        <v>1019596.1702898552</v>
      </c>
      <c r="G27" s="165">
        <f t="shared" si="6"/>
        <v>169755.98961791594</v>
      </c>
      <c r="H27" s="147">
        <f t="shared" si="7"/>
        <v>169755.98961791594</v>
      </c>
      <c r="I27" s="160">
        <f t="shared" si="0"/>
        <v>0</v>
      </c>
      <c r="J27" s="160"/>
      <c r="K27" s="330"/>
      <c r="L27" s="162">
        <f t="shared" si="1"/>
        <v>0</v>
      </c>
      <c r="M27" s="330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1019596.1702898552</v>
      </c>
      <c r="E28" s="164">
        <f t="shared" si="4"/>
        <v>29755.066666666666</v>
      </c>
      <c r="F28" s="163">
        <f t="shared" si="5"/>
        <v>989841.10362318857</v>
      </c>
      <c r="G28" s="165">
        <f t="shared" si="6"/>
        <v>165729.07546705933</v>
      </c>
      <c r="H28" s="147">
        <f t="shared" si="7"/>
        <v>165729.07546705933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989841.10362318857</v>
      </c>
      <c r="E29" s="164">
        <f t="shared" si="4"/>
        <v>29755.066666666666</v>
      </c>
      <c r="F29" s="163">
        <f t="shared" si="5"/>
        <v>960086.03695652192</v>
      </c>
      <c r="G29" s="165">
        <f t="shared" si="6"/>
        <v>161702.16131620272</v>
      </c>
      <c r="H29" s="147">
        <f t="shared" si="7"/>
        <v>161702.16131620272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960086.03695652192</v>
      </c>
      <c r="E30" s="164">
        <f t="shared" si="4"/>
        <v>29755.066666666666</v>
      </c>
      <c r="F30" s="163">
        <f t="shared" si="5"/>
        <v>930330.97028985526</v>
      </c>
      <c r="G30" s="165">
        <f t="shared" si="6"/>
        <v>157675.24716534605</v>
      </c>
      <c r="H30" s="147">
        <f t="shared" si="7"/>
        <v>157675.24716534605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930330.97028985526</v>
      </c>
      <c r="E31" s="164">
        <f t="shared" si="4"/>
        <v>29755.066666666666</v>
      </c>
      <c r="F31" s="163">
        <f t="shared" si="5"/>
        <v>900575.90362318861</v>
      </c>
      <c r="G31" s="165">
        <f t="shared" si="6"/>
        <v>153648.33301448944</v>
      </c>
      <c r="H31" s="147">
        <f t="shared" si="7"/>
        <v>153648.33301448944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900575.90362318861</v>
      </c>
      <c r="E32" s="164">
        <f t="shared" si="4"/>
        <v>29755.066666666666</v>
      </c>
      <c r="F32" s="163">
        <f t="shared" si="5"/>
        <v>870820.83695652196</v>
      </c>
      <c r="G32" s="165">
        <f t="shared" si="6"/>
        <v>149621.4188636328</v>
      </c>
      <c r="H32" s="147">
        <f t="shared" si="7"/>
        <v>149621.4188636328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870820.83695652196</v>
      </c>
      <c r="E33" s="164">
        <f t="shared" si="4"/>
        <v>29755.066666666666</v>
      </c>
      <c r="F33" s="163">
        <f t="shared" si="5"/>
        <v>841065.77028985531</v>
      </c>
      <c r="G33" s="165">
        <f t="shared" si="6"/>
        <v>145594.50471277616</v>
      </c>
      <c r="H33" s="147">
        <f t="shared" si="7"/>
        <v>145594.50471277616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841065.77028985531</v>
      </c>
      <c r="E34" s="164">
        <f t="shared" si="4"/>
        <v>29755.066666666666</v>
      </c>
      <c r="F34" s="163">
        <f t="shared" si="5"/>
        <v>811310.70362318866</v>
      </c>
      <c r="G34" s="165">
        <f t="shared" si="6"/>
        <v>141567.59056191955</v>
      </c>
      <c r="H34" s="147">
        <f t="shared" si="7"/>
        <v>141567.59056191955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811310.70362318866</v>
      </c>
      <c r="E35" s="164">
        <f t="shared" si="4"/>
        <v>29755.066666666666</v>
      </c>
      <c r="F35" s="163">
        <f t="shared" si="5"/>
        <v>781555.63695652201</v>
      </c>
      <c r="G35" s="165">
        <f t="shared" si="6"/>
        <v>137540.67641106294</v>
      </c>
      <c r="H35" s="147">
        <f t="shared" si="7"/>
        <v>137540.67641106294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781555.63695652201</v>
      </c>
      <c r="E36" s="164">
        <f t="shared" si="4"/>
        <v>29755.066666666666</v>
      </c>
      <c r="F36" s="163">
        <f t="shared" si="5"/>
        <v>751800.57028985536</v>
      </c>
      <c r="G36" s="165">
        <f t="shared" si="6"/>
        <v>133513.76226020628</v>
      </c>
      <c r="H36" s="147">
        <f t="shared" si="7"/>
        <v>133513.76226020628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751800.57028985536</v>
      </c>
      <c r="E37" s="164">
        <f t="shared" si="4"/>
        <v>29755.066666666666</v>
      </c>
      <c r="F37" s="163">
        <f t="shared" si="5"/>
        <v>722045.50362318871</v>
      </c>
      <c r="G37" s="165">
        <f t="shared" si="6"/>
        <v>129486.84810934967</v>
      </c>
      <c r="H37" s="147">
        <f t="shared" si="7"/>
        <v>129486.84810934967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722045.50362318871</v>
      </c>
      <c r="E38" s="164">
        <f t="shared" si="4"/>
        <v>29755.066666666666</v>
      </c>
      <c r="F38" s="163">
        <f t="shared" si="5"/>
        <v>692290.43695652205</v>
      </c>
      <c r="G38" s="165">
        <f t="shared" si="6"/>
        <v>125459.93395849304</v>
      </c>
      <c r="H38" s="147">
        <f t="shared" si="7"/>
        <v>125459.93395849304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692290.43695652205</v>
      </c>
      <c r="E39" s="164">
        <f t="shared" si="4"/>
        <v>29755.066666666666</v>
      </c>
      <c r="F39" s="163">
        <f t="shared" si="5"/>
        <v>662535.3702898554</v>
      </c>
      <c r="G39" s="165">
        <f t="shared" si="6"/>
        <v>121433.01980763642</v>
      </c>
      <c r="H39" s="147">
        <f t="shared" si="7"/>
        <v>121433.01980763642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662535.3702898554</v>
      </c>
      <c r="E40" s="164">
        <f t="shared" si="4"/>
        <v>29755.066666666666</v>
      </c>
      <c r="F40" s="163">
        <f t="shared" si="5"/>
        <v>632780.30362318875</v>
      </c>
      <c r="G40" s="165">
        <f t="shared" si="6"/>
        <v>117406.10565677978</v>
      </c>
      <c r="H40" s="147">
        <f t="shared" si="7"/>
        <v>117406.10565677978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632780.30362318875</v>
      </c>
      <c r="E41" s="164">
        <f t="shared" si="4"/>
        <v>29755.066666666666</v>
      </c>
      <c r="F41" s="163">
        <f t="shared" si="5"/>
        <v>603025.2369565221</v>
      </c>
      <c r="G41" s="165">
        <f t="shared" si="6"/>
        <v>113379.19150592315</v>
      </c>
      <c r="H41" s="147">
        <f t="shared" si="7"/>
        <v>113379.19150592315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603025.2369565221</v>
      </c>
      <c r="E42" s="164">
        <f t="shared" si="4"/>
        <v>29755.066666666666</v>
      </c>
      <c r="F42" s="163">
        <f t="shared" si="5"/>
        <v>573270.17028985545</v>
      </c>
      <c r="G42" s="165">
        <f t="shared" si="6"/>
        <v>109352.27735506653</v>
      </c>
      <c r="H42" s="147">
        <f t="shared" si="7"/>
        <v>109352.27735506653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573270.17028985545</v>
      </c>
      <c r="E43" s="164">
        <f t="shared" si="4"/>
        <v>29755.066666666666</v>
      </c>
      <c r="F43" s="163">
        <f t="shared" si="5"/>
        <v>543515.1036231888</v>
      </c>
      <c r="G43" s="165">
        <f t="shared" si="6"/>
        <v>105325.36320420989</v>
      </c>
      <c r="H43" s="147">
        <f t="shared" si="7"/>
        <v>105325.36320420989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543515.1036231888</v>
      </c>
      <c r="E44" s="164">
        <f t="shared" si="4"/>
        <v>29755.066666666666</v>
      </c>
      <c r="F44" s="163">
        <f t="shared" si="5"/>
        <v>513760.03695652215</v>
      </c>
      <c r="G44" s="165">
        <f t="shared" si="6"/>
        <v>101298.44905335327</v>
      </c>
      <c r="H44" s="147">
        <f t="shared" si="7"/>
        <v>101298.44905335327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513760.03695652215</v>
      </c>
      <c r="E45" s="164">
        <f t="shared" si="4"/>
        <v>29755.066666666666</v>
      </c>
      <c r="F45" s="163">
        <f t="shared" si="5"/>
        <v>484004.9702898555</v>
      </c>
      <c r="G45" s="165">
        <f t="shared" si="6"/>
        <v>97271.534902496642</v>
      </c>
      <c r="H45" s="147">
        <f t="shared" si="7"/>
        <v>97271.534902496642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484004.9702898555</v>
      </c>
      <c r="E46" s="164">
        <f t="shared" si="4"/>
        <v>29755.066666666666</v>
      </c>
      <c r="F46" s="163">
        <f t="shared" si="5"/>
        <v>454249.90362318885</v>
      </c>
      <c r="G46" s="165">
        <f t="shared" si="6"/>
        <v>93244.620751640003</v>
      </c>
      <c r="H46" s="147">
        <f t="shared" si="7"/>
        <v>93244.620751640003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454249.90362318885</v>
      </c>
      <c r="E47" s="164">
        <f t="shared" si="4"/>
        <v>29755.066666666666</v>
      </c>
      <c r="F47" s="163">
        <f t="shared" si="5"/>
        <v>424494.83695652219</v>
      </c>
      <c r="G47" s="165">
        <f t="shared" si="6"/>
        <v>89217.706600783393</v>
      </c>
      <c r="H47" s="147">
        <f t="shared" si="7"/>
        <v>89217.706600783393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424494.83695652219</v>
      </c>
      <c r="E48" s="164">
        <f t="shared" si="4"/>
        <v>29755.066666666666</v>
      </c>
      <c r="F48" s="163">
        <f t="shared" si="5"/>
        <v>394739.77028985554</v>
      </c>
      <c r="G48" s="165">
        <f t="shared" si="6"/>
        <v>85190.792449926754</v>
      </c>
      <c r="H48" s="147">
        <f t="shared" si="7"/>
        <v>85190.792449926754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394739.77028985554</v>
      </c>
      <c r="E49" s="164">
        <f t="shared" si="4"/>
        <v>29755.066666666666</v>
      </c>
      <c r="F49" s="163">
        <f t="shared" si="5"/>
        <v>364984.70362318889</v>
      </c>
      <c r="G49" s="165">
        <f t="shared" si="6"/>
        <v>81163.878299070129</v>
      </c>
      <c r="H49" s="147">
        <f t="shared" si="7"/>
        <v>81163.878299070129</v>
      </c>
      <c r="I49" s="160">
        <f t="shared" si="0"/>
        <v>0</v>
      </c>
      <c r="J49" s="160"/>
      <c r="K49" s="330"/>
      <c r="L49" s="162">
        <f t="shared" si="1"/>
        <v>0</v>
      </c>
      <c r="M49" s="330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364984.70362318889</v>
      </c>
      <c r="E50" s="164">
        <f t="shared" si="4"/>
        <v>29755.066666666666</v>
      </c>
      <c r="F50" s="163">
        <f t="shared" si="5"/>
        <v>335229.63695652224</v>
      </c>
      <c r="G50" s="165">
        <f t="shared" si="6"/>
        <v>77136.964148213505</v>
      </c>
      <c r="H50" s="147">
        <f t="shared" si="7"/>
        <v>77136.964148213505</v>
      </c>
      <c r="I50" s="160">
        <f t="shared" si="0"/>
        <v>0</v>
      </c>
      <c r="J50" s="160"/>
      <c r="K50" s="330"/>
      <c r="L50" s="162">
        <f t="shared" si="1"/>
        <v>0</v>
      </c>
      <c r="M50" s="330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335229.63695652224</v>
      </c>
      <c r="E51" s="164">
        <f t="shared" si="4"/>
        <v>29755.066666666666</v>
      </c>
      <c r="F51" s="163">
        <f t="shared" si="5"/>
        <v>305474.57028985559</v>
      </c>
      <c r="G51" s="165">
        <f t="shared" si="6"/>
        <v>73110.049997356866</v>
      </c>
      <c r="H51" s="147">
        <f t="shared" si="7"/>
        <v>73110.049997356866</v>
      </c>
      <c r="I51" s="160">
        <f t="shared" si="0"/>
        <v>0</v>
      </c>
      <c r="J51" s="160"/>
      <c r="K51" s="330"/>
      <c r="L51" s="162">
        <f t="shared" si="1"/>
        <v>0</v>
      </c>
      <c r="M51" s="330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305474.57028985559</v>
      </c>
      <c r="E52" s="164">
        <f t="shared" si="4"/>
        <v>29755.066666666666</v>
      </c>
      <c r="F52" s="163">
        <f t="shared" si="5"/>
        <v>275719.50362318894</v>
      </c>
      <c r="G52" s="165">
        <f t="shared" si="6"/>
        <v>69083.135846500241</v>
      </c>
      <c r="H52" s="147">
        <f t="shared" si="7"/>
        <v>69083.135846500241</v>
      </c>
      <c r="I52" s="160">
        <f t="shared" si="0"/>
        <v>0</v>
      </c>
      <c r="J52" s="160"/>
      <c r="K52" s="330"/>
      <c r="L52" s="162">
        <f t="shared" si="1"/>
        <v>0</v>
      </c>
      <c r="M52" s="330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275719.50362318894</v>
      </c>
      <c r="E53" s="164">
        <f t="shared" si="4"/>
        <v>29755.066666666666</v>
      </c>
      <c r="F53" s="163">
        <f t="shared" si="5"/>
        <v>245964.43695652229</v>
      </c>
      <c r="G53" s="165">
        <f t="shared" si="6"/>
        <v>65056.221695643617</v>
      </c>
      <c r="H53" s="147">
        <f t="shared" si="7"/>
        <v>65056.221695643617</v>
      </c>
      <c r="I53" s="160">
        <f t="shared" si="0"/>
        <v>0</v>
      </c>
      <c r="J53" s="160"/>
      <c r="K53" s="330"/>
      <c r="L53" s="162">
        <f t="shared" si="1"/>
        <v>0</v>
      </c>
      <c r="M53" s="330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245964.43695652229</v>
      </c>
      <c r="E54" s="164">
        <f t="shared" si="4"/>
        <v>29755.066666666666</v>
      </c>
      <c r="F54" s="163">
        <f t="shared" si="5"/>
        <v>216209.37028985564</v>
      </c>
      <c r="G54" s="165">
        <f t="shared" si="6"/>
        <v>61029.307544786985</v>
      </c>
      <c r="H54" s="147">
        <f t="shared" si="7"/>
        <v>61029.307544786985</v>
      </c>
      <c r="I54" s="160">
        <f t="shared" si="0"/>
        <v>0</v>
      </c>
      <c r="J54" s="160"/>
      <c r="K54" s="330"/>
      <c r="L54" s="162">
        <f t="shared" si="1"/>
        <v>0</v>
      </c>
      <c r="M54" s="330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216209.37028985564</v>
      </c>
      <c r="E55" s="164">
        <f t="shared" si="4"/>
        <v>29755.066666666666</v>
      </c>
      <c r="F55" s="163">
        <f t="shared" si="5"/>
        <v>186454.30362318899</v>
      </c>
      <c r="G55" s="165">
        <f t="shared" si="6"/>
        <v>57002.393393930353</v>
      </c>
      <c r="H55" s="147">
        <f t="shared" si="7"/>
        <v>57002.393393930353</v>
      </c>
      <c r="I55" s="160">
        <f t="shared" si="0"/>
        <v>0</v>
      </c>
      <c r="J55" s="160"/>
      <c r="K55" s="330"/>
      <c r="L55" s="162">
        <f t="shared" si="1"/>
        <v>0</v>
      </c>
      <c r="M55" s="330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186454.30362318899</v>
      </c>
      <c r="E56" s="164">
        <f t="shared" si="4"/>
        <v>29755.066666666666</v>
      </c>
      <c r="F56" s="163">
        <f t="shared" si="5"/>
        <v>156699.23695652233</v>
      </c>
      <c r="G56" s="165">
        <f t="shared" si="6"/>
        <v>52975.479243073729</v>
      </c>
      <c r="H56" s="147">
        <f t="shared" si="7"/>
        <v>52975.479243073729</v>
      </c>
      <c r="I56" s="160">
        <f t="shared" si="0"/>
        <v>0</v>
      </c>
      <c r="J56" s="160"/>
      <c r="K56" s="330"/>
      <c r="L56" s="162">
        <f t="shared" si="1"/>
        <v>0</v>
      </c>
      <c r="M56" s="330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156699.23695652233</v>
      </c>
      <c r="E57" s="164">
        <f t="shared" si="4"/>
        <v>29755.066666666666</v>
      </c>
      <c r="F57" s="163">
        <f t="shared" si="5"/>
        <v>126944.17028985567</v>
      </c>
      <c r="G57" s="165">
        <f t="shared" si="6"/>
        <v>48948.565092217104</v>
      </c>
      <c r="H57" s="147">
        <f t="shared" si="7"/>
        <v>48948.565092217104</v>
      </c>
      <c r="I57" s="160">
        <f t="shared" si="0"/>
        <v>0</v>
      </c>
      <c r="J57" s="160"/>
      <c r="K57" s="330"/>
      <c r="L57" s="162">
        <f t="shared" si="1"/>
        <v>0</v>
      </c>
      <c r="M57" s="330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126944.17028985567</v>
      </c>
      <c r="E58" s="164">
        <f t="shared" si="4"/>
        <v>29755.066666666666</v>
      </c>
      <c r="F58" s="163">
        <f t="shared" si="5"/>
        <v>97189.103623189003</v>
      </c>
      <c r="G58" s="165">
        <f t="shared" si="6"/>
        <v>44921.650941360465</v>
      </c>
      <c r="H58" s="147">
        <f t="shared" si="7"/>
        <v>44921.650941360465</v>
      </c>
      <c r="I58" s="160">
        <f t="shared" si="0"/>
        <v>0</v>
      </c>
      <c r="J58" s="160"/>
      <c r="K58" s="330"/>
      <c r="L58" s="162">
        <f t="shared" si="1"/>
        <v>0</v>
      </c>
      <c r="M58" s="330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97189.103623189003</v>
      </c>
      <c r="E59" s="164">
        <f t="shared" si="4"/>
        <v>29755.066666666666</v>
      </c>
      <c r="F59" s="163">
        <f t="shared" si="5"/>
        <v>67434.036956522337</v>
      </c>
      <c r="G59" s="165">
        <f t="shared" si="6"/>
        <v>40894.736790503841</v>
      </c>
      <c r="H59" s="147">
        <f t="shared" si="7"/>
        <v>40894.736790503841</v>
      </c>
      <c r="I59" s="160">
        <f t="shared" si="0"/>
        <v>0</v>
      </c>
      <c r="J59" s="160"/>
      <c r="K59" s="330"/>
      <c r="L59" s="162">
        <f t="shared" si="1"/>
        <v>0</v>
      </c>
      <c r="M59" s="330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67434.036956522337</v>
      </c>
      <c r="E60" s="164">
        <f t="shared" si="4"/>
        <v>29755.066666666666</v>
      </c>
      <c r="F60" s="163">
        <f t="shared" si="5"/>
        <v>37678.970289855672</v>
      </c>
      <c r="G60" s="165">
        <f t="shared" si="6"/>
        <v>36867.822639647209</v>
      </c>
      <c r="H60" s="147">
        <f t="shared" si="7"/>
        <v>36867.822639647209</v>
      </c>
      <c r="I60" s="160">
        <f t="shared" si="0"/>
        <v>0</v>
      </c>
      <c r="J60" s="160"/>
      <c r="K60" s="330"/>
      <c r="L60" s="162">
        <f t="shared" si="1"/>
        <v>0</v>
      </c>
      <c r="M60" s="330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37678.970289855672</v>
      </c>
      <c r="E61" s="164">
        <f t="shared" si="4"/>
        <v>29755.066666666666</v>
      </c>
      <c r="F61" s="163">
        <f t="shared" si="5"/>
        <v>7923.9036231890059</v>
      </c>
      <c r="G61" s="165">
        <f t="shared" si="6"/>
        <v>32840.908488790577</v>
      </c>
      <c r="H61" s="147">
        <f t="shared" si="7"/>
        <v>32840.908488790577</v>
      </c>
      <c r="I61" s="160">
        <f t="shared" si="0"/>
        <v>0</v>
      </c>
      <c r="J61" s="160"/>
      <c r="K61" s="330"/>
      <c r="L61" s="162">
        <f t="shared" si="1"/>
        <v>0</v>
      </c>
      <c r="M61" s="330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7923.9036231890059</v>
      </c>
      <c r="E62" s="164">
        <f t="shared" si="4"/>
        <v>7923.9036231890059</v>
      </c>
      <c r="F62" s="163">
        <f t="shared" si="5"/>
        <v>0</v>
      </c>
      <c r="G62" s="165">
        <f t="shared" si="6"/>
        <v>8460.0959965368038</v>
      </c>
      <c r="H62" s="147">
        <f t="shared" si="7"/>
        <v>8460.0959965368038</v>
      </c>
      <c r="I62" s="160">
        <f t="shared" si="0"/>
        <v>0</v>
      </c>
      <c r="J62" s="160"/>
      <c r="K62" s="330"/>
      <c r="L62" s="162">
        <f t="shared" si="1"/>
        <v>0</v>
      </c>
      <c r="M62" s="330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0"/>
      <c r="L63" s="162">
        <f t="shared" si="1"/>
        <v>0</v>
      </c>
      <c r="M63" s="330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0"/>
      <c r="L64" s="162">
        <f t="shared" si="1"/>
        <v>0</v>
      </c>
      <c r="M64" s="330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0"/>
      <c r="L65" s="162">
        <f t="shared" si="1"/>
        <v>0</v>
      </c>
      <c r="M65" s="330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0"/>
      <c r="L66" s="162">
        <f t="shared" si="1"/>
        <v>0</v>
      </c>
      <c r="M66" s="330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0"/>
      <c r="L67" s="162">
        <f t="shared" si="1"/>
        <v>0</v>
      </c>
      <c r="M67" s="330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0"/>
      <c r="L68" s="162">
        <f t="shared" si="1"/>
        <v>0</v>
      </c>
      <c r="M68" s="330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0"/>
      <c r="L69" s="162">
        <f t="shared" si="1"/>
        <v>0</v>
      </c>
      <c r="M69" s="330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0"/>
      <c r="L70" s="162">
        <f t="shared" si="1"/>
        <v>0</v>
      </c>
      <c r="M70" s="330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0"/>
      <c r="L71" s="162">
        <f t="shared" si="1"/>
        <v>0</v>
      </c>
      <c r="M71" s="330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36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2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1"/>
      <c r="L72" s="173">
        <f t="shared" si="1"/>
        <v>0</v>
      </c>
      <c r="M72" s="331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77</v>
      </c>
      <c r="D73" s="115"/>
      <c r="E73" s="115">
        <f>SUM(E17:E72)</f>
        <v>1338978.0000000002</v>
      </c>
      <c r="F73" s="115"/>
      <c r="G73" s="115">
        <f>SUM(G17:G72)</f>
        <v>5368562.5036665341</v>
      </c>
      <c r="H73" s="115">
        <f>SUM(H17:H72)</f>
        <v>5368562.5036665341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19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205998.2169756256</v>
      </c>
      <c r="N87" s="202">
        <f>IF(J92&lt;D11,0,VLOOKUP(J92,C17:O72,11))</f>
        <v>205998.2169756256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164857.30223166285</v>
      </c>
      <c r="N88" s="204">
        <f>IF(J92&lt;D11,0,VLOOKUP(J92,C99:P154,7))</f>
        <v>164857.30223166285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Valliant-NW Texarkana 345 kV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-41140.914743962756</v>
      </c>
      <c r="N89" s="207">
        <f>+N88-N87</f>
        <v>-41140.914743962756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TP2009089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f>IF(D11=I10,0,D10)</f>
        <v>1338978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2017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3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31139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2017</v>
      </c>
      <c r="D99" s="413">
        <v>0</v>
      </c>
      <c r="E99" s="418">
        <v>21831</v>
      </c>
      <c r="F99" s="413">
        <v>1317147</v>
      </c>
      <c r="G99" s="418">
        <v>658573.5</v>
      </c>
      <c r="H99" s="416">
        <v>105372.70906867021</v>
      </c>
      <c r="I99" s="427">
        <v>105372.70906867021</v>
      </c>
      <c r="J99" s="162">
        <f t="shared" ref="J99:J130" si="9">+I99-H99</f>
        <v>0</v>
      </c>
      <c r="K99" s="162"/>
      <c r="L99" s="161">
        <f>+H99</f>
        <v>105372.70906867021</v>
      </c>
      <c r="M99" s="161">
        <f t="shared" ref="M99:M130" si="10">IF(L99&lt;&gt;0,+H99-L99,0)</f>
        <v>0</v>
      </c>
      <c r="N99" s="161">
        <f>+I99</f>
        <v>105372.70906867021</v>
      </c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1317147</v>
      </c>
      <c r="E100" s="164">
        <f>IF(+J$96&lt;F99,J$96,D100)</f>
        <v>31139</v>
      </c>
      <c r="F100" s="163">
        <f>+D100-E100</f>
        <v>1286008</v>
      </c>
      <c r="G100" s="163">
        <f>+(F100+D100)/2</f>
        <v>1301577.5</v>
      </c>
      <c r="H100" s="328">
        <f t="shared" ref="H100:H154" si="13">+J$94*G100+E100</f>
        <v>164857.30223166285</v>
      </c>
      <c r="I100" s="339">
        <f t="shared" ref="I100:I154" si="14">+J$95*G100+E100</f>
        <v>164857.30223166285</v>
      </c>
      <c r="J100" s="162">
        <f t="shared" si="9"/>
        <v>0</v>
      </c>
      <c r="K100" s="162"/>
      <c r="L100" s="330"/>
      <c r="M100" s="162">
        <f t="shared" si="10"/>
        <v>0</v>
      </c>
      <c r="N100" s="330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1286008</v>
      </c>
      <c r="E101" s="164">
        <f t="shared" ref="E101:E154" si="16">IF(+J$96&lt;F100,J$96,D101)</f>
        <v>31139</v>
      </c>
      <c r="F101" s="163">
        <f t="shared" ref="F101:F154" si="17">+D101-E101</f>
        <v>1254869</v>
      </c>
      <c r="G101" s="163">
        <f t="shared" ref="G101:G154" si="18">+(F101+D101)/2</f>
        <v>1270438.5</v>
      </c>
      <c r="H101" s="328">
        <f t="shared" si="13"/>
        <v>161658.21941623942</v>
      </c>
      <c r="I101" s="339">
        <f t="shared" si="14"/>
        <v>161658.21941623942</v>
      </c>
      <c r="J101" s="162">
        <f t="shared" si="9"/>
        <v>0</v>
      </c>
      <c r="K101" s="162"/>
      <c r="L101" s="330"/>
      <c r="M101" s="162">
        <f t="shared" si="10"/>
        <v>0</v>
      </c>
      <c r="N101" s="330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1254869</v>
      </c>
      <c r="E102" s="164">
        <f t="shared" si="16"/>
        <v>31139</v>
      </c>
      <c r="F102" s="163">
        <f t="shared" si="17"/>
        <v>1223730</v>
      </c>
      <c r="G102" s="163">
        <f t="shared" si="18"/>
        <v>1239299.5</v>
      </c>
      <c r="H102" s="328">
        <f t="shared" si="13"/>
        <v>158459.13660081604</v>
      </c>
      <c r="I102" s="339">
        <f t="shared" si="14"/>
        <v>158459.13660081604</v>
      </c>
      <c r="J102" s="162">
        <f t="shared" si="9"/>
        <v>0</v>
      </c>
      <c r="K102" s="162"/>
      <c r="L102" s="330"/>
      <c r="M102" s="162">
        <f t="shared" si="10"/>
        <v>0</v>
      </c>
      <c r="N102" s="330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1223730</v>
      </c>
      <c r="E103" s="164">
        <f t="shared" si="16"/>
        <v>31139</v>
      </c>
      <c r="F103" s="163">
        <f t="shared" si="17"/>
        <v>1192591</v>
      </c>
      <c r="G103" s="163">
        <f t="shared" si="18"/>
        <v>1208160.5</v>
      </c>
      <c r="H103" s="328">
        <f t="shared" si="13"/>
        <v>155260.05378539264</v>
      </c>
      <c r="I103" s="339">
        <f t="shared" si="14"/>
        <v>155260.05378539264</v>
      </c>
      <c r="J103" s="162">
        <f t="shared" si="9"/>
        <v>0</v>
      </c>
      <c r="K103" s="162"/>
      <c r="L103" s="330"/>
      <c r="M103" s="162">
        <f t="shared" si="10"/>
        <v>0</v>
      </c>
      <c r="N103" s="330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1192591</v>
      </c>
      <c r="E104" s="164">
        <f t="shared" si="16"/>
        <v>31139</v>
      </c>
      <c r="F104" s="163">
        <f t="shared" si="17"/>
        <v>1161452</v>
      </c>
      <c r="G104" s="163">
        <f t="shared" si="18"/>
        <v>1177021.5</v>
      </c>
      <c r="H104" s="328">
        <f t="shared" si="13"/>
        <v>152060.97096996923</v>
      </c>
      <c r="I104" s="339">
        <f t="shared" si="14"/>
        <v>152060.97096996923</v>
      </c>
      <c r="J104" s="162">
        <f t="shared" si="9"/>
        <v>0</v>
      </c>
      <c r="K104" s="162"/>
      <c r="L104" s="330"/>
      <c r="M104" s="162">
        <f t="shared" si="10"/>
        <v>0</v>
      </c>
      <c r="N104" s="330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1161452</v>
      </c>
      <c r="E105" s="164">
        <f t="shared" si="16"/>
        <v>31139</v>
      </c>
      <c r="F105" s="163">
        <f t="shared" si="17"/>
        <v>1130313</v>
      </c>
      <c r="G105" s="163">
        <f t="shared" si="18"/>
        <v>1145882.5</v>
      </c>
      <c r="H105" s="328">
        <f t="shared" si="13"/>
        <v>148861.88815454586</v>
      </c>
      <c r="I105" s="339">
        <f t="shared" si="14"/>
        <v>148861.88815454586</v>
      </c>
      <c r="J105" s="162">
        <f t="shared" si="9"/>
        <v>0</v>
      </c>
      <c r="K105" s="162"/>
      <c r="L105" s="330"/>
      <c r="M105" s="162">
        <f t="shared" si="10"/>
        <v>0</v>
      </c>
      <c r="N105" s="330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1130313</v>
      </c>
      <c r="E106" s="164">
        <f t="shared" si="16"/>
        <v>31139</v>
      </c>
      <c r="F106" s="163">
        <f t="shared" si="17"/>
        <v>1099174</v>
      </c>
      <c r="G106" s="163">
        <f t="shared" si="18"/>
        <v>1114743.5</v>
      </c>
      <c r="H106" s="328">
        <f t="shared" si="13"/>
        <v>145662.80533912242</v>
      </c>
      <c r="I106" s="339">
        <f t="shared" si="14"/>
        <v>145662.80533912242</v>
      </c>
      <c r="J106" s="162">
        <f t="shared" si="9"/>
        <v>0</v>
      </c>
      <c r="K106" s="162"/>
      <c r="L106" s="330"/>
      <c r="M106" s="162">
        <f t="shared" si="10"/>
        <v>0</v>
      </c>
      <c r="N106" s="330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1099174</v>
      </c>
      <c r="E107" s="164">
        <f t="shared" si="16"/>
        <v>31139</v>
      </c>
      <c r="F107" s="163">
        <f t="shared" si="17"/>
        <v>1068035</v>
      </c>
      <c r="G107" s="163">
        <f t="shared" si="18"/>
        <v>1083604.5</v>
      </c>
      <c r="H107" s="328">
        <f t="shared" si="13"/>
        <v>142463.72252369905</v>
      </c>
      <c r="I107" s="339">
        <f t="shared" si="14"/>
        <v>142463.72252369905</v>
      </c>
      <c r="J107" s="162">
        <f t="shared" si="9"/>
        <v>0</v>
      </c>
      <c r="K107" s="162"/>
      <c r="L107" s="330"/>
      <c r="M107" s="162">
        <f t="shared" si="10"/>
        <v>0</v>
      </c>
      <c r="N107" s="330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1068035</v>
      </c>
      <c r="E108" s="164">
        <f t="shared" si="16"/>
        <v>31139</v>
      </c>
      <c r="F108" s="163">
        <f t="shared" si="17"/>
        <v>1036896</v>
      </c>
      <c r="G108" s="163">
        <f t="shared" si="18"/>
        <v>1052465.5</v>
      </c>
      <c r="H108" s="328">
        <f t="shared" si="13"/>
        <v>139264.63970827564</v>
      </c>
      <c r="I108" s="339">
        <f t="shared" si="14"/>
        <v>139264.63970827564</v>
      </c>
      <c r="J108" s="162">
        <f t="shared" si="9"/>
        <v>0</v>
      </c>
      <c r="K108" s="162"/>
      <c r="L108" s="330"/>
      <c r="M108" s="162">
        <f t="shared" si="10"/>
        <v>0</v>
      </c>
      <c r="N108" s="330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1036896</v>
      </c>
      <c r="E109" s="164">
        <f t="shared" si="16"/>
        <v>31139</v>
      </c>
      <c r="F109" s="163">
        <f t="shared" si="17"/>
        <v>1005757</v>
      </c>
      <c r="G109" s="163">
        <f t="shared" si="18"/>
        <v>1021326.5</v>
      </c>
      <c r="H109" s="328">
        <f t="shared" si="13"/>
        <v>136065.55689285224</v>
      </c>
      <c r="I109" s="339">
        <f t="shared" si="14"/>
        <v>136065.55689285224</v>
      </c>
      <c r="J109" s="162">
        <f t="shared" si="9"/>
        <v>0</v>
      </c>
      <c r="K109" s="162"/>
      <c r="L109" s="330"/>
      <c r="M109" s="162">
        <f t="shared" si="10"/>
        <v>0</v>
      </c>
      <c r="N109" s="330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1005757</v>
      </c>
      <c r="E110" s="164">
        <f t="shared" si="16"/>
        <v>31139</v>
      </c>
      <c r="F110" s="163">
        <f t="shared" si="17"/>
        <v>974618</v>
      </c>
      <c r="G110" s="163">
        <f t="shared" si="18"/>
        <v>990187.5</v>
      </c>
      <c r="H110" s="328">
        <f t="shared" si="13"/>
        <v>132866.47407742887</v>
      </c>
      <c r="I110" s="339">
        <f t="shared" si="14"/>
        <v>132866.47407742887</v>
      </c>
      <c r="J110" s="162">
        <f t="shared" si="9"/>
        <v>0</v>
      </c>
      <c r="K110" s="162"/>
      <c r="L110" s="330"/>
      <c r="M110" s="162">
        <f t="shared" si="10"/>
        <v>0</v>
      </c>
      <c r="N110" s="330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974618</v>
      </c>
      <c r="E111" s="164">
        <f t="shared" si="16"/>
        <v>31139</v>
      </c>
      <c r="F111" s="163">
        <f t="shared" si="17"/>
        <v>943479</v>
      </c>
      <c r="G111" s="163">
        <f t="shared" si="18"/>
        <v>959048.5</v>
      </c>
      <c r="H111" s="328">
        <f t="shared" si="13"/>
        <v>129667.39126200545</v>
      </c>
      <c r="I111" s="339">
        <f t="shared" si="14"/>
        <v>129667.39126200545</v>
      </c>
      <c r="J111" s="162">
        <f t="shared" si="9"/>
        <v>0</v>
      </c>
      <c r="K111" s="162"/>
      <c r="L111" s="330"/>
      <c r="M111" s="162">
        <f t="shared" si="10"/>
        <v>0</v>
      </c>
      <c r="N111" s="330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943479</v>
      </c>
      <c r="E112" s="164">
        <f t="shared" si="16"/>
        <v>31139</v>
      </c>
      <c r="F112" s="163">
        <f t="shared" si="17"/>
        <v>912340</v>
      </c>
      <c r="G112" s="163">
        <f t="shared" si="18"/>
        <v>927909.5</v>
      </c>
      <c r="H112" s="328">
        <f t="shared" si="13"/>
        <v>126468.30844658204</v>
      </c>
      <c r="I112" s="339">
        <f t="shared" si="14"/>
        <v>126468.30844658204</v>
      </c>
      <c r="J112" s="162">
        <f t="shared" si="9"/>
        <v>0</v>
      </c>
      <c r="K112" s="162"/>
      <c r="L112" s="330"/>
      <c r="M112" s="162">
        <f t="shared" si="10"/>
        <v>0</v>
      </c>
      <c r="N112" s="330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912340</v>
      </c>
      <c r="E113" s="164">
        <f t="shared" si="16"/>
        <v>31139</v>
      </c>
      <c r="F113" s="163">
        <f t="shared" si="17"/>
        <v>881201</v>
      </c>
      <c r="G113" s="163">
        <f t="shared" si="18"/>
        <v>896770.5</v>
      </c>
      <c r="H113" s="328">
        <f t="shared" si="13"/>
        <v>123269.22563115865</v>
      </c>
      <c r="I113" s="339">
        <f t="shared" si="14"/>
        <v>123269.22563115865</v>
      </c>
      <c r="J113" s="162">
        <f t="shared" si="9"/>
        <v>0</v>
      </c>
      <c r="K113" s="162"/>
      <c r="L113" s="330"/>
      <c r="M113" s="162">
        <f t="shared" si="10"/>
        <v>0</v>
      </c>
      <c r="N113" s="330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881201</v>
      </c>
      <c r="E114" s="164">
        <f t="shared" si="16"/>
        <v>31139</v>
      </c>
      <c r="F114" s="163">
        <f t="shared" si="17"/>
        <v>850062</v>
      </c>
      <c r="G114" s="163">
        <f t="shared" si="18"/>
        <v>865631.5</v>
      </c>
      <c r="H114" s="328">
        <f t="shared" si="13"/>
        <v>120070.14281573525</v>
      </c>
      <c r="I114" s="339">
        <f t="shared" si="14"/>
        <v>120070.14281573525</v>
      </c>
      <c r="J114" s="162">
        <f t="shared" si="9"/>
        <v>0</v>
      </c>
      <c r="K114" s="162"/>
      <c r="L114" s="330"/>
      <c r="M114" s="162">
        <f t="shared" si="10"/>
        <v>0</v>
      </c>
      <c r="N114" s="330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850062</v>
      </c>
      <c r="E115" s="164">
        <f t="shared" si="16"/>
        <v>31139</v>
      </c>
      <c r="F115" s="163">
        <f t="shared" si="17"/>
        <v>818923</v>
      </c>
      <c r="G115" s="163">
        <f t="shared" si="18"/>
        <v>834492.5</v>
      </c>
      <c r="H115" s="328">
        <f t="shared" si="13"/>
        <v>116871.06000031185</v>
      </c>
      <c r="I115" s="339">
        <f t="shared" si="14"/>
        <v>116871.06000031185</v>
      </c>
      <c r="J115" s="162">
        <f t="shared" si="9"/>
        <v>0</v>
      </c>
      <c r="K115" s="162"/>
      <c r="L115" s="330"/>
      <c r="M115" s="162">
        <f t="shared" si="10"/>
        <v>0</v>
      </c>
      <c r="N115" s="330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818923</v>
      </c>
      <c r="E116" s="164">
        <f t="shared" si="16"/>
        <v>31139</v>
      </c>
      <c r="F116" s="163">
        <f t="shared" si="17"/>
        <v>787784</v>
      </c>
      <c r="G116" s="163">
        <f t="shared" si="18"/>
        <v>803353.5</v>
      </c>
      <c r="H116" s="328">
        <f t="shared" si="13"/>
        <v>113671.97718488846</v>
      </c>
      <c r="I116" s="339">
        <f t="shared" si="14"/>
        <v>113671.97718488846</v>
      </c>
      <c r="J116" s="162">
        <f t="shared" si="9"/>
        <v>0</v>
      </c>
      <c r="K116" s="162"/>
      <c r="L116" s="330"/>
      <c r="M116" s="162">
        <f t="shared" si="10"/>
        <v>0</v>
      </c>
      <c r="N116" s="330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787784</v>
      </c>
      <c r="E117" s="164">
        <f t="shared" si="16"/>
        <v>31139</v>
      </c>
      <c r="F117" s="163">
        <f t="shared" si="17"/>
        <v>756645</v>
      </c>
      <c r="G117" s="163">
        <f t="shared" si="18"/>
        <v>772214.5</v>
      </c>
      <c r="H117" s="328">
        <f t="shared" si="13"/>
        <v>110472.89436946505</v>
      </c>
      <c r="I117" s="339">
        <f t="shared" si="14"/>
        <v>110472.89436946505</v>
      </c>
      <c r="J117" s="162">
        <f t="shared" si="9"/>
        <v>0</v>
      </c>
      <c r="K117" s="162"/>
      <c r="L117" s="330"/>
      <c r="M117" s="162">
        <f t="shared" si="10"/>
        <v>0</v>
      </c>
      <c r="N117" s="330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756645</v>
      </c>
      <c r="E118" s="164">
        <f t="shared" si="16"/>
        <v>31139</v>
      </c>
      <c r="F118" s="163">
        <f t="shared" si="17"/>
        <v>725506</v>
      </c>
      <c r="G118" s="163">
        <f t="shared" si="18"/>
        <v>741075.5</v>
      </c>
      <c r="H118" s="328">
        <f t="shared" si="13"/>
        <v>107273.81155404165</v>
      </c>
      <c r="I118" s="339">
        <f t="shared" si="14"/>
        <v>107273.81155404165</v>
      </c>
      <c r="J118" s="162">
        <f t="shared" si="9"/>
        <v>0</v>
      </c>
      <c r="K118" s="162"/>
      <c r="L118" s="330"/>
      <c r="M118" s="162">
        <f t="shared" si="10"/>
        <v>0</v>
      </c>
      <c r="N118" s="330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725506</v>
      </c>
      <c r="E119" s="164">
        <f t="shared" si="16"/>
        <v>31139</v>
      </c>
      <c r="F119" s="163">
        <f t="shared" si="17"/>
        <v>694367</v>
      </c>
      <c r="G119" s="163">
        <f t="shared" si="18"/>
        <v>709936.5</v>
      </c>
      <c r="H119" s="328">
        <f t="shared" si="13"/>
        <v>104074.72873861826</v>
      </c>
      <c r="I119" s="339">
        <f t="shared" si="14"/>
        <v>104074.72873861826</v>
      </c>
      <c r="J119" s="162">
        <f t="shared" si="9"/>
        <v>0</v>
      </c>
      <c r="K119" s="162"/>
      <c r="L119" s="330"/>
      <c r="M119" s="162">
        <f t="shared" si="10"/>
        <v>0</v>
      </c>
      <c r="N119" s="330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694367</v>
      </c>
      <c r="E120" s="164">
        <f t="shared" si="16"/>
        <v>31139</v>
      </c>
      <c r="F120" s="163">
        <f t="shared" si="17"/>
        <v>663228</v>
      </c>
      <c r="G120" s="163">
        <f t="shared" si="18"/>
        <v>678797.5</v>
      </c>
      <c r="H120" s="328">
        <f t="shared" si="13"/>
        <v>100875.64592319485</v>
      </c>
      <c r="I120" s="339">
        <f t="shared" si="14"/>
        <v>100875.64592319485</v>
      </c>
      <c r="J120" s="162">
        <f t="shared" si="9"/>
        <v>0</v>
      </c>
      <c r="K120" s="162"/>
      <c r="L120" s="330"/>
      <c r="M120" s="162">
        <f t="shared" si="10"/>
        <v>0</v>
      </c>
      <c r="N120" s="330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663228</v>
      </c>
      <c r="E121" s="164">
        <f t="shared" si="16"/>
        <v>31139</v>
      </c>
      <c r="F121" s="163">
        <f t="shared" si="17"/>
        <v>632089</v>
      </c>
      <c r="G121" s="163">
        <f t="shared" si="18"/>
        <v>647658.5</v>
      </c>
      <c r="H121" s="328">
        <f t="shared" si="13"/>
        <v>97676.563107771464</v>
      </c>
      <c r="I121" s="339">
        <f t="shared" si="14"/>
        <v>97676.563107771464</v>
      </c>
      <c r="J121" s="162">
        <f t="shared" si="9"/>
        <v>0</v>
      </c>
      <c r="K121" s="162"/>
      <c r="L121" s="330"/>
      <c r="M121" s="162">
        <f t="shared" si="10"/>
        <v>0</v>
      </c>
      <c r="N121" s="330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632089</v>
      </c>
      <c r="E122" s="164">
        <f t="shared" si="16"/>
        <v>31139</v>
      </c>
      <c r="F122" s="163">
        <f t="shared" si="17"/>
        <v>600950</v>
      </c>
      <c r="G122" s="163">
        <f t="shared" si="18"/>
        <v>616519.5</v>
      </c>
      <c r="H122" s="328">
        <f t="shared" si="13"/>
        <v>94477.48029234806</v>
      </c>
      <c r="I122" s="339">
        <f t="shared" si="14"/>
        <v>94477.48029234806</v>
      </c>
      <c r="J122" s="162">
        <f t="shared" si="9"/>
        <v>0</v>
      </c>
      <c r="K122" s="162"/>
      <c r="L122" s="330"/>
      <c r="M122" s="162">
        <f t="shared" si="10"/>
        <v>0</v>
      </c>
      <c r="N122" s="330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600950</v>
      </c>
      <c r="E123" s="164">
        <f t="shared" si="16"/>
        <v>31139</v>
      </c>
      <c r="F123" s="163">
        <f t="shared" si="17"/>
        <v>569811</v>
      </c>
      <c r="G123" s="163">
        <f t="shared" si="18"/>
        <v>585380.5</v>
      </c>
      <c r="H123" s="328">
        <f t="shared" si="13"/>
        <v>91278.397476924671</v>
      </c>
      <c r="I123" s="339">
        <f t="shared" si="14"/>
        <v>91278.397476924671</v>
      </c>
      <c r="J123" s="162">
        <f t="shared" si="9"/>
        <v>0</v>
      </c>
      <c r="K123" s="162"/>
      <c r="L123" s="330"/>
      <c r="M123" s="162">
        <f t="shared" si="10"/>
        <v>0</v>
      </c>
      <c r="N123" s="330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569811</v>
      </c>
      <c r="E124" s="164">
        <f t="shared" si="16"/>
        <v>31139</v>
      </c>
      <c r="F124" s="163">
        <f t="shared" si="17"/>
        <v>538672</v>
      </c>
      <c r="G124" s="163">
        <f t="shared" si="18"/>
        <v>554241.5</v>
      </c>
      <c r="H124" s="328">
        <f t="shared" si="13"/>
        <v>88079.314661501267</v>
      </c>
      <c r="I124" s="339">
        <f t="shared" si="14"/>
        <v>88079.314661501267</v>
      </c>
      <c r="J124" s="162">
        <f t="shared" si="9"/>
        <v>0</v>
      </c>
      <c r="K124" s="162"/>
      <c r="L124" s="330"/>
      <c r="M124" s="162">
        <f t="shared" si="10"/>
        <v>0</v>
      </c>
      <c r="N124" s="330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538672</v>
      </c>
      <c r="E125" s="164">
        <f t="shared" si="16"/>
        <v>31139</v>
      </c>
      <c r="F125" s="163">
        <f t="shared" si="17"/>
        <v>507533</v>
      </c>
      <c r="G125" s="163">
        <f t="shared" si="18"/>
        <v>523102.5</v>
      </c>
      <c r="H125" s="328">
        <f t="shared" si="13"/>
        <v>84880.231846077862</v>
      </c>
      <c r="I125" s="339">
        <f t="shared" si="14"/>
        <v>84880.231846077862</v>
      </c>
      <c r="J125" s="162">
        <f t="shared" si="9"/>
        <v>0</v>
      </c>
      <c r="K125" s="162"/>
      <c r="L125" s="330"/>
      <c r="M125" s="162">
        <f t="shared" si="10"/>
        <v>0</v>
      </c>
      <c r="N125" s="330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507533</v>
      </c>
      <c r="E126" s="164">
        <f t="shared" si="16"/>
        <v>31139</v>
      </c>
      <c r="F126" s="163">
        <f t="shared" si="17"/>
        <v>476394</v>
      </c>
      <c r="G126" s="163">
        <f t="shared" si="18"/>
        <v>491963.5</v>
      </c>
      <c r="H126" s="328">
        <f t="shared" si="13"/>
        <v>81681.149030654458</v>
      </c>
      <c r="I126" s="339">
        <f t="shared" si="14"/>
        <v>81681.149030654458</v>
      </c>
      <c r="J126" s="162">
        <f t="shared" si="9"/>
        <v>0</v>
      </c>
      <c r="K126" s="162"/>
      <c r="L126" s="330"/>
      <c r="M126" s="162">
        <f t="shared" si="10"/>
        <v>0</v>
      </c>
      <c r="N126" s="330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476394</v>
      </c>
      <c r="E127" s="164">
        <f t="shared" si="16"/>
        <v>31139</v>
      </c>
      <c r="F127" s="163">
        <f t="shared" si="17"/>
        <v>445255</v>
      </c>
      <c r="G127" s="163">
        <f t="shared" si="18"/>
        <v>460824.5</v>
      </c>
      <c r="H127" s="328">
        <f t="shared" si="13"/>
        <v>78482.066215231054</v>
      </c>
      <c r="I127" s="339">
        <f t="shared" si="14"/>
        <v>78482.066215231054</v>
      </c>
      <c r="J127" s="162">
        <f t="shared" si="9"/>
        <v>0</v>
      </c>
      <c r="K127" s="162"/>
      <c r="L127" s="330"/>
      <c r="M127" s="162">
        <f t="shared" si="10"/>
        <v>0</v>
      </c>
      <c r="N127" s="330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445255</v>
      </c>
      <c r="E128" s="164">
        <f t="shared" si="16"/>
        <v>31139</v>
      </c>
      <c r="F128" s="163">
        <f t="shared" si="17"/>
        <v>414116</v>
      </c>
      <c r="G128" s="163">
        <f t="shared" si="18"/>
        <v>429685.5</v>
      </c>
      <c r="H128" s="328">
        <f t="shared" si="13"/>
        <v>75282.983399807665</v>
      </c>
      <c r="I128" s="339">
        <f t="shared" si="14"/>
        <v>75282.983399807665</v>
      </c>
      <c r="J128" s="162">
        <f t="shared" si="9"/>
        <v>0</v>
      </c>
      <c r="K128" s="162"/>
      <c r="L128" s="330"/>
      <c r="M128" s="162">
        <f t="shared" si="10"/>
        <v>0</v>
      </c>
      <c r="N128" s="330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414116</v>
      </c>
      <c r="E129" s="164">
        <f t="shared" si="16"/>
        <v>31139</v>
      </c>
      <c r="F129" s="163">
        <f t="shared" si="17"/>
        <v>382977</v>
      </c>
      <c r="G129" s="163">
        <f t="shared" si="18"/>
        <v>398546.5</v>
      </c>
      <c r="H129" s="328">
        <f t="shared" si="13"/>
        <v>72083.900584384275</v>
      </c>
      <c r="I129" s="339">
        <f t="shared" si="14"/>
        <v>72083.900584384275</v>
      </c>
      <c r="J129" s="162">
        <f t="shared" si="9"/>
        <v>0</v>
      </c>
      <c r="K129" s="162"/>
      <c r="L129" s="330"/>
      <c r="M129" s="162">
        <f t="shared" si="10"/>
        <v>0</v>
      </c>
      <c r="N129" s="330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382977</v>
      </c>
      <c r="E130" s="164">
        <f t="shared" si="16"/>
        <v>31139</v>
      </c>
      <c r="F130" s="163">
        <f t="shared" si="17"/>
        <v>351838</v>
      </c>
      <c r="G130" s="163">
        <f t="shared" si="18"/>
        <v>367407.5</v>
      </c>
      <c r="H130" s="328">
        <f t="shared" si="13"/>
        <v>68884.817768960871</v>
      </c>
      <c r="I130" s="339">
        <f t="shared" si="14"/>
        <v>68884.817768960871</v>
      </c>
      <c r="J130" s="162">
        <f t="shared" si="9"/>
        <v>0</v>
      </c>
      <c r="K130" s="162"/>
      <c r="L130" s="330"/>
      <c r="M130" s="162">
        <f t="shared" si="10"/>
        <v>0</v>
      </c>
      <c r="N130" s="330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351838</v>
      </c>
      <c r="E131" s="164">
        <f t="shared" si="16"/>
        <v>31139</v>
      </c>
      <c r="F131" s="163">
        <f t="shared" si="17"/>
        <v>320699</v>
      </c>
      <c r="G131" s="163">
        <f t="shared" si="18"/>
        <v>336268.5</v>
      </c>
      <c r="H131" s="328">
        <f t="shared" si="13"/>
        <v>65685.734953537467</v>
      </c>
      <c r="I131" s="339">
        <f t="shared" si="14"/>
        <v>65685.734953537467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320699</v>
      </c>
      <c r="E132" s="164">
        <f t="shared" si="16"/>
        <v>31139</v>
      </c>
      <c r="F132" s="163">
        <f t="shared" si="17"/>
        <v>289560</v>
      </c>
      <c r="G132" s="163">
        <f t="shared" si="18"/>
        <v>305129.5</v>
      </c>
      <c r="H132" s="328">
        <f t="shared" si="13"/>
        <v>62486.65213811407</v>
      </c>
      <c r="I132" s="339">
        <f t="shared" si="14"/>
        <v>62486.65213811407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289560</v>
      </c>
      <c r="E133" s="164">
        <f t="shared" si="16"/>
        <v>31139</v>
      </c>
      <c r="F133" s="163">
        <f t="shared" si="17"/>
        <v>258421</v>
      </c>
      <c r="G133" s="163">
        <f t="shared" si="18"/>
        <v>273990.5</v>
      </c>
      <c r="H133" s="328">
        <f t="shared" si="13"/>
        <v>59287.569322690673</v>
      </c>
      <c r="I133" s="339">
        <f t="shared" si="14"/>
        <v>59287.569322690673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258421</v>
      </c>
      <c r="E134" s="164">
        <f t="shared" si="16"/>
        <v>31139</v>
      </c>
      <c r="F134" s="163">
        <f t="shared" si="17"/>
        <v>227282</v>
      </c>
      <c r="G134" s="163">
        <f t="shared" si="18"/>
        <v>242851.5</v>
      </c>
      <c r="H134" s="328">
        <f t="shared" si="13"/>
        <v>56088.486507267269</v>
      </c>
      <c r="I134" s="339">
        <f t="shared" si="14"/>
        <v>56088.486507267269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227282</v>
      </c>
      <c r="E135" s="164">
        <f t="shared" si="16"/>
        <v>31139</v>
      </c>
      <c r="F135" s="163">
        <f t="shared" si="17"/>
        <v>196143</v>
      </c>
      <c r="G135" s="163">
        <f t="shared" si="18"/>
        <v>211712.5</v>
      </c>
      <c r="H135" s="328">
        <f t="shared" si="13"/>
        <v>52889.403691843872</v>
      </c>
      <c r="I135" s="339">
        <f t="shared" si="14"/>
        <v>52889.403691843872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196143</v>
      </c>
      <c r="E136" s="164">
        <f t="shared" si="16"/>
        <v>31139</v>
      </c>
      <c r="F136" s="163">
        <f t="shared" si="17"/>
        <v>165004</v>
      </c>
      <c r="G136" s="163">
        <f t="shared" si="18"/>
        <v>180573.5</v>
      </c>
      <c r="H136" s="328">
        <f t="shared" si="13"/>
        <v>49690.320876420476</v>
      </c>
      <c r="I136" s="339">
        <f t="shared" si="14"/>
        <v>49690.320876420476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165004</v>
      </c>
      <c r="E137" s="164">
        <f t="shared" si="16"/>
        <v>31139</v>
      </c>
      <c r="F137" s="163">
        <f t="shared" si="17"/>
        <v>133865</v>
      </c>
      <c r="G137" s="163">
        <f t="shared" si="18"/>
        <v>149434.5</v>
      </c>
      <c r="H137" s="328">
        <f t="shared" si="13"/>
        <v>46491.238060997071</v>
      </c>
      <c r="I137" s="339">
        <f t="shared" si="14"/>
        <v>46491.238060997071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133865</v>
      </c>
      <c r="E138" s="164">
        <f t="shared" si="16"/>
        <v>31139</v>
      </c>
      <c r="F138" s="163">
        <f t="shared" si="17"/>
        <v>102726</v>
      </c>
      <c r="G138" s="163">
        <f t="shared" si="18"/>
        <v>118295.5</v>
      </c>
      <c r="H138" s="328">
        <f t="shared" si="13"/>
        <v>43292.155245573675</v>
      </c>
      <c r="I138" s="339">
        <f t="shared" si="14"/>
        <v>43292.155245573675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102726</v>
      </c>
      <c r="E139" s="164">
        <f t="shared" si="16"/>
        <v>31139</v>
      </c>
      <c r="F139" s="163">
        <f t="shared" si="17"/>
        <v>71587</v>
      </c>
      <c r="G139" s="163">
        <f t="shared" si="18"/>
        <v>87156.5</v>
      </c>
      <c r="H139" s="328">
        <f t="shared" si="13"/>
        <v>40093.072430150278</v>
      </c>
      <c r="I139" s="339">
        <f t="shared" si="14"/>
        <v>40093.072430150278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71587</v>
      </c>
      <c r="E140" s="164">
        <f t="shared" si="16"/>
        <v>31139</v>
      </c>
      <c r="F140" s="163">
        <f t="shared" si="17"/>
        <v>40448</v>
      </c>
      <c r="G140" s="163">
        <f t="shared" si="18"/>
        <v>56017.5</v>
      </c>
      <c r="H140" s="328">
        <f t="shared" si="13"/>
        <v>36893.989614726881</v>
      </c>
      <c r="I140" s="339">
        <f t="shared" si="14"/>
        <v>36893.989614726881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40448</v>
      </c>
      <c r="E141" s="164">
        <f t="shared" si="16"/>
        <v>31139</v>
      </c>
      <c r="F141" s="163">
        <f t="shared" si="17"/>
        <v>9309</v>
      </c>
      <c r="G141" s="163">
        <f t="shared" si="18"/>
        <v>24878.5</v>
      </c>
      <c r="H141" s="328">
        <f t="shared" si="13"/>
        <v>33694.906799303477</v>
      </c>
      <c r="I141" s="339">
        <f t="shared" si="14"/>
        <v>33694.906799303477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9309</v>
      </c>
      <c r="E142" s="164">
        <f t="shared" si="16"/>
        <v>9309</v>
      </c>
      <c r="F142" s="163">
        <f t="shared" si="17"/>
        <v>0</v>
      </c>
      <c r="G142" s="163">
        <f t="shared" si="18"/>
        <v>4654.5</v>
      </c>
      <c r="H142" s="328">
        <f t="shared" si="13"/>
        <v>9787.1826957958892</v>
      </c>
      <c r="I142" s="339">
        <f t="shared" si="14"/>
        <v>9787.1826957958892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3"/>
        <v>0</v>
      </c>
      <c r="I143" s="339">
        <f t="shared" si="14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3"/>
        <v>0</v>
      </c>
      <c r="I144" s="339">
        <f t="shared" si="14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3"/>
        <v>0</v>
      </c>
      <c r="I145" s="339">
        <f t="shared" si="14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3"/>
        <v>0</v>
      </c>
      <c r="I146" s="339">
        <f t="shared" si="14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3"/>
        <v>0</v>
      </c>
      <c r="I147" s="339">
        <f t="shared" si="14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3"/>
        <v>0</v>
      </c>
      <c r="I148" s="339">
        <f t="shared" si="14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3"/>
        <v>0</v>
      </c>
      <c r="I149" s="339">
        <f t="shared" si="14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3"/>
        <v>0</v>
      </c>
      <c r="I150" s="339">
        <f t="shared" si="14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3"/>
        <v>0</v>
      </c>
      <c r="I151" s="339">
        <f t="shared" si="14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3"/>
        <v>0</v>
      </c>
      <c r="I152" s="339">
        <f t="shared" si="14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3"/>
        <v>0</v>
      </c>
      <c r="I153" s="339">
        <f t="shared" si="14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3"/>
        <v>0</v>
      </c>
      <c r="I154" s="341">
        <f t="shared" si="14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1338978</v>
      </c>
      <c r="F155" s="115"/>
      <c r="G155" s="115"/>
      <c r="H155" s="115">
        <f>SUM(H99:H154)</f>
        <v>4284756.2814147584</v>
      </c>
      <c r="I155" s="115">
        <f>SUM(I99:I154)</f>
        <v>4284756.2814147584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view="pageBreakPreview" topLeftCell="A73" zoomScale="78" zoomScaleNormal="100" zoomScaleSheetLayoutView="78" workbookViewId="0">
      <selection activeCell="D94" sqref="D94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20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87696.739331146033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87696.739331146033</v>
      </c>
      <c r="O6" s="1"/>
      <c r="P6" s="1"/>
    </row>
    <row r="7" spans="1:16" ht="13.5" thickBot="1">
      <c r="C7" s="127" t="s">
        <v>46</v>
      </c>
      <c r="D7" s="227" t="s">
        <v>282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298</v>
      </c>
      <c r="E9" s="406" t="s">
        <v>299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1140000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2018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7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25333.333333333332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v>2017</v>
      </c>
      <c r="D17" s="413">
        <v>0</v>
      </c>
      <c r="E17" s="418">
        <v>0</v>
      </c>
      <c r="F17" s="413">
        <v>483000</v>
      </c>
      <c r="G17" s="418">
        <v>30733</v>
      </c>
      <c r="H17" s="416">
        <v>30733</v>
      </c>
      <c r="I17" s="160">
        <f t="shared" ref="I17:I72" si="0">H17-G17</f>
        <v>0</v>
      </c>
      <c r="J17" s="160"/>
      <c r="K17" s="161">
        <f>+G17</f>
        <v>30733</v>
      </c>
      <c r="L17" s="161">
        <f t="shared" ref="L17:L72" si="1">IF(K17&lt;&gt;0,+G17-K17,0)</f>
        <v>0</v>
      </c>
      <c r="M17" s="161">
        <f>+H17</f>
        <v>30733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2018</v>
      </c>
      <c r="D18" s="413">
        <v>0</v>
      </c>
      <c r="E18" s="414">
        <v>10555.555555555555</v>
      </c>
      <c r="F18" s="413">
        <v>1140000</v>
      </c>
      <c r="G18" s="414">
        <v>87696.739331146033</v>
      </c>
      <c r="H18" s="416">
        <v>87696.739331146033</v>
      </c>
      <c r="I18" s="160">
        <f t="shared" si="0"/>
        <v>0</v>
      </c>
      <c r="J18" s="160"/>
      <c r="K18" s="162">
        <f>+G18</f>
        <v>87696.739331146033</v>
      </c>
      <c r="L18" s="162">
        <f t="shared" si="1"/>
        <v>0</v>
      </c>
      <c r="M18" s="162">
        <f>+H18</f>
        <v>87696.739331146033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2019</v>
      </c>
      <c r="D19" s="166">
        <f>IF(F18+SUM(E$17:E18)=D$10,F18,D$10-SUM(E$17:E18))</f>
        <v>1129444.4444444445</v>
      </c>
      <c r="E19" s="164">
        <f t="shared" ref="E19:E72" si="4">IF(+I$14&lt;F18,I$14,D19)</f>
        <v>25333.333333333332</v>
      </c>
      <c r="F19" s="163">
        <f t="shared" ref="F19:F72" si="5">+D19-E19</f>
        <v>1104111.1111111112</v>
      </c>
      <c r="G19" s="165">
        <f t="shared" ref="G19:G72" si="6">(D19+F19)/2*I$12+E19</f>
        <v>176472.91191587914</v>
      </c>
      <c r="H19" s="147">
        <f t="shared" ref="H19:H72" si="7">+(D19+F19)/2*I$13+E19</f>
        <v>176472.91191587914</v>
      </c>
      <c r="I19" s="160">
        <f t="shared" si="0"/>
        <v>0</v>
      </c>
      <c r="J19" s="160"/>
      <c r="K19" s="330"/>
      <c r="L19" s="162">
        <f t="shared" si="1"/>
        <v>0</v>
      </c>
      <c r="M19" s="330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1104111.1111111112</v>
      </c>
      <c r="E20" s="164">
        <f t="shared" si="4"/>
        <v>25333.333333333332</v>
      </c>
      <c r="F20" s="163">
        <f t="shared" si="5"/>
        <v>1078777.777777778</v>
      </c>
      <c r="G20" s="165">
        <f t="shared" si="6"/>
        <v>173044.41485918622</v>
      </c>
      <c r="H20" s="147">
        <f t="shared" si="7"/>
        <v>173044.41485918622</v>
      </c>
      <c r="I20" s="160">
        <f t="shared" si="0"/>
        <v>0</v>
      </c>
      <c r="J20" s="160"/>
      <c r="K20" s="330"/>
      <c r="L20" s="162">
        <f t="shared" si="1"/>
        <v>0</v>
      </c>
      <c r="M20" s="330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1078777.777777778</v>
      </c>
      <c r="E21" s="164">
        <f t="shared" si="4"/>
        <v>25333.333333333332</v>
      </c>
      <c r="F21" s="163">
        <f t="shared" si="5"/>
        <v>1053444.4444444447</v>
      </c>
      <c r="G21" s="165">
        <f t="shared" si="6"/>
        <v>169615.91780249335</v>
      </c>
      <c r="H21" s="147">
        <f t="shared" si="7"/>
        <v>169615.91780249335</v>
      </c>
      <c r="I21" s="160">
        <f t="shared" si="0"/>
        <v>0</v>
      </c>
      <c r="J21" s="160"/>
      <c r="K21" s="330"/>
      <c r="L21" s="162">
        <f t="shared" si="1"/>
        <v>0</v>
      </c>
      <c r="M21" s="330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1053444.4444444447</v>
      </c>
      <c r="E22" s="164">
        <f t="shared" si="4"/>
        <v>25333.333333333332</v>
      </c>
      <c r="F22" s="163">
        <f t="shared" si="5"/>
        <v>1028111.1111111114</v>
      </c>
      <c r="G22" s="165">
        <f t="shared" si="6"/>
        <v>166187.42074580039</v>
      </c>
      <c r="H22" s="147">
        <f t="shared" si="7"/>
        <v>166187.42074580039</v>
      </c>
      <c r="I22" s="160">
        <f t="shared" si="0"/>
        <v>0</v>
      </c>
      <c r="J22" s="160"/>
      <c r="K22" s="330"/>
      <c r="L22" s="162">
        <f t="shared" si="1"/>
        <v>0</v>
      </c>
      <c r="M22" s="330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1028111.1111111114</v>
      </c>
      <c r="E23" s="164">
        <f t="shared" si="4"/>
        <v>25333.333333333332</v>
      </c>
      <c r="F23" s="163">
        <f t="shared" si="5"/>
        <v>1002777.777777778</v>
      </c>
      <c r="G23" s="165">
        <f t="shared" si="6"/>
        <v>162758.9236891075</v>
      </c>
      <c r="H23" s="147">
        <f t="shared" si="7"/>
        <v>162758.9236891075</v>
      </c>
      <c r="I23" s="160">
        <f t="shared" si="0"/>
        <v>0</v>
      </c>
      <c r="J23" s="160"/>
      <c r="K23" s="330"/>
      <c r="L23" s="162">
        <f t="shared" si="1"/>
        <v>0</v>
      </c>
      <c r="M23" s="330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1002777.777777778</v>
      </c>
      <c r="E24" s="164">
        <f t="shared" si="4"/>
        <v>25333.333333333332</v>
      </c>
      <c r="F24" s="163">
        <f t="shared" si="5"/>
        <v>977444.44444444461</v>
      </c>
      <c r="G24" s="165">
        <f t="shared" si="6"/>
        <v>159330.42663241457</v>
      </c>
      <c r="H24" s="147">
        <f t="shared" si="7"/>
        <v>159330.42663241457</v>
      </c>
      <c r="I24" s="160">
        <f t="shared" si="0"/>
        <v>0</v>
      </c>
      <c r="J24" s="160"/>
      <c r="K24" s="330"/>
      <c r="L24" s="162">
        <f t="shared" si="1"/>
        <v>0</v>
      </c>
      <c r="M24" s="330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977444.44444444461</v>
      </c>
      <c r="E25" s="164">
        <f t="shared" si="4"/>
        <v>25333.333333333332</v>
      </c>
      <c r="F25" s="163">
        <f t="shared" si="5"/>
        <v>952111.11111111124</v>
      </c>
      <c r="G25" s="165">
        <f t="shared" si="6"/>
        <v>155901.92957572168</v>
      </c>
      <c r="H25" s="147">
        <f t="shared" si="7"/>
        <v>155901.92957572168</v>
      </c>
      <c r="I25" s="160">
        <f t="shared" si="0"/>
        <v>0</v>
      </c>
      <c r="J25" s="160"/>
      <c r="K25" s="330"/>
      <c r="L25" s="162">
        <f t="shared" si="1"/>
        <v>0</v>
      </c>
      <c r="M25" s="330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952111.11111111124</v>
      </c>
      <c r="E26" s="164">
        <f t="shared" si="4"/>
        <v>25333.333333333332</v>
      </c>
      <c r="F26" s="163">
        <f t="shared" si="5"/>
        <v>926777.77777777787</v>
      </c>
      <c r="G26" s="165">
        <f t="shared" si="6"/>
        <v>152473.43251902875</v>
      </c>
      <c r="H26" s="147">
        <f t="shared" si="7"/>
        <v>152473.43251902875</v>
      </c>
      <c r="I26" s="160">
        <f t="shared" si="0"/>
        <v>0</v>
      </c>
      <c r="J26" s="160"/>
      <c r="K26" s="330"/>
      <c r="L26" s="162">
        <f t="shared" si="1"/>
        <v>0</v>
      </c>
      <c r="M26" s="330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926777.77777777787</v>
      </c>
      <c r="E27" s="164">
        <f t="shared" si="4"/>
        <v>25333.333333333332</v>
      </c>
      <c r="F27" s="163">
        <f t="shared" si="5"/>
        <v>901444.4444444445</v>
      </c>
      <c r="G27" s="165">
        <f t="shared" si="6"/>
        <v>149044.93546233585</v>
      </c>
      <c r="H27" s="147">
        <f t="shared" si="7"/>
        <v>149044.93546233585</v>
      </c>
      <c r="I27" s="160">
        <f t="shared" si="0"/>
        <v>0</v>
      </c>
      <c r="J27" s="160"/>
      <c r="K27" s="330"/>
      <c r="L27" s="162">
        <f t="shared" si="1"/>
        <v>0</v>
      </c>
      <c r="M27" s="330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901444.4444444445</v>
      </c>
      <c r="E28" s="164">
        <f t="shared" si="4"/>
        <v>25333.333333333332</v>
      </c>
      <c r="F28" s="163">
        <f t="shared" si="5"/>
        <v>876111.11111111112</v>
      </c>
      <c r="G28" s="165">
        <f t="shared" si="6"/>
        <v>145616.4384056429</v>
      </c>
      <c r="H28" s="147">
        <f t="shared" si="7"/>
        <v>145616.4384056429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876111.11111111112</v>
      </c>
      <c r="E29" s="164">
        <f t="shared" si="4"/>
        <v>25333.333333333332</v>
      </c>
      <c r="F29" s="163">
        <f t="shared" si="5"/>
        <v>850777.77777777775</v>
      </c>
      <c r="G29" s="165">
        <f t="shared" si="6"/>
        <v>142187.94134895</v>
      </c>
      <c r="H29" s="147">
        <f t="shared" si="7"/>
        <v>142187.94134895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850777.77777777775</v>
      </c>
      <c r="E30" s="164">
        <f t="shared" si="4"/>
        <v>25333.333333333332</v>
      </c>
      <c r="F30" s="163">
        <f t="shared" si="5"/>
        <v>825444.44444444438</v>
      </c>
      <c r="G30" s="165">
        <f t="shared" si="6"/>
        <v>138759.44429225707</v>
      </c>
      <c r="H30" s="147">
        <f t="shared" si="7"/>
        <v>138759.44429225707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825444.44444444438</v>
      </c>
      <c r="E31" s="164">
        <f t="shared" si="4"/>
        <v>25333.333333333332</v>
      </c>
      <c r="F31" s="163">
        <f t="shared" si="5"/>
        <v>800111.11111111101</v>
      </c>
      <c r="G31" s="165">
        <f t="shared" si="6"/>
        <v>135330.94723556418</v>
      </c>
      <c r="H31" s="147">
        <f t="shared" si="7"/>
        <v>135330.94723556418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800111.11111111101</v>
      </c>
      <c r="E32" s="164">
        <f t="shared" si="4"/>
        <v>25333.333333333332</v>
      </c>
      <c r="F32" s="163">
        <f t="shared" si="5"/>
        <v>774777.77777777764</v>
      </c>
      <c r="G32" s="165">
        <f t="shared" si="6"/>
        <v>131902.45017887125</v>
      </c>
      <c r="H32" s="147">
        <f t="shared" si="7"/>
        <v>131902.45017887125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774777.77777777764</v>
      </c>
      <c r="E33" s="164">
        <f t="shared" si="4"/>
        <v>25333.333333333332</v>
      </c>
      <c r="F33" s="163">
        <f t="shared" si="5"/>
        <v>749444.44444444426</v>
      </c>
      <c r="G33" s="165">
        <f t="shared" si="6"/>
        <v>128473.95312217834</v>
      </c>
      <c r="H33" s="147">
        <f t="shared" si="7"/>
        <v>128473.95312217834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749444.44444444426</v>
      </c>
      <c r="E34" s="164">
        <f t="shared" si="4"/>
        <v>25333.333333333332</v>
      </c>
      <c r="F34" s="163">
        <f t="shared" si="5"/>
        <v>724111.11111111089</v>
      </c>
      <c r="G34" s="165">
        <f t="shared" si="6"/>
        <v>125045.45606548541</v>
      </c>
      <c r="H34" s="147">
        <f t="shared" si="7"/>
        <v>125045.45606548541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724111.11111111089</v>
      </c>
      <c r="E35" s="164">
        <f t="shared" si="4"/>
        <v>25333.333333333332</v>
      </c>
      <c r="F35" s="163">
        <f t="shared" si="5"/>
        <v>698777.77777777752</v>
      </c>
      <c r="G35" s="165">
        <f t="shared" si="6"/>
        <v>121616.95900879252</v>
      </c>
      <c r="H35" s="147">
        <f t="shared" si="7"/>
        <v>121616.95900879252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698777.77777777752</v>
      </c>
      <c r="E36" s="164">
        <f t="shared" si="4"/>
        <v>25333.333333333332</v>
      </c>
      <c r="F36" s="163">
        <f t="shared" si="5"/>
        <v>673444.44444444415</v>
      </c>
      <c r="G36" s="165">
        <f t="shared" si="6"/>
        <v>118188.46195209959</v>
      </c>
      <c r="H36" s="147">
        <f t="shared" si="7"/>
        <v>118188.46195209959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673444.44444444415</v>
      </c>
      <c r="E37" s="164">
        <f t="shared" si="4"/>
        <v>25333.333333333332</v>
      </c>
      <c r="F37" s="163">
        <f t="shared" si="5"/>
        <v>648111.11111111077</v>
      </c>
      <c r="G37" s="165">
        <f t="shared" si="6"/>
        <v>114759.96489540668</v>
      </c>
      <c r="H37" s="147">
        <f t="shared" si="7"/>
        <v>114759.96489540668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648111.11111111077</v>
      </c>
      <c r="E38" s="164">
        <f t="shared" si="4"/>
        <v>25333.333333333332</v>
      </c>
      <c r="F38" s="163">
        <f t="shared" si="5"/>
        <v>622777.7777777774</v>
      </c>
      <c r="G38" s="165">
        <f t="shared" si="6"/>
        <v>111331.46783871375</v>
      </c>
      <c r="H38" s="147">
        <f t="shared" si="7"/>
        <v>111331.46783871375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622777.7777777774</v>
      </c>
      <c r="E39" s="164">
        <f t="shared" si="4"/>
        <v>25333.333333333332</v>
      </c>
      <c r="F39" s="163">
        <f t="shared" si="5"/>
        <v>597444.44444444403</v>
      </c>
      <c r="G39" s="165">
        <f t="shared" si="6"/>
        <v>107902.97078202086</v>
      </c>
      <c r="H39" s="147">
        <f t="shared" si="7"/>
        <v>107902.97078202086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597444.44444444403</v>
      </c>
      <c r="E40" s="164">
        <f t="shared" si="4"/>
        <v>25333.333333333332</v>
      </c>
      <c r="F40" s="163">
        <f t="shared" si="5"/>
        <v>572111.11111111066</v>
      </c>
      <c r="G40" s="165">
        <f t="shared" si="6"/>
        <v>104474.47372532793</v>
      </c>
      <c r="H40" s="147">
        <f t="shared" si="7"/>
        <v>104474.47372532793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572111.11111111066</v>
      </c>
      <c r="E41" s="164">
        <f t="shared" si="4"/>
        <v>25333.333333333332</v>
      </c>
      <c r="F41" s="163">
        <f t="shared" si="5"/>
        <v>546777.77777777729</v>
      </c>
      <c r="G41" s="165">
        <f t="shared" si="6"/>
        <v>101045.97666863502</v>
      </c>
      <c r="H41" s="147">
        <f t="shared" si="7"/>
        <v>101045.97666863502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546777.77777777729</v>
      </c>
      <c r="E42" s="164">
        <f t="shared" si="4"/>
        <v>25333.333333333332</v>
      </c>
      <c r="F42" s="163">
        <f t="shared" si="5"/>
        <v>521444.44444444397</v>
      </c>
      <c r="G42" s="165">
        <f t="shared" si="6"/>
        <v>97617.479611942108</v>
      </c>
      <c r="H42" s="147">
        <f t="shared" si="7"/>
        <v>97617.479611942108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521444.44444444397</v>
      </c>
      <c r="E43" s="164">
        <f t="shared" si="4"/>
        <v>25333.333333333332</v>
      </c>
      <c r="F43" s="163">
        <f t="shared" si="5"/>
        <v>496111.11111111066</v>
      </c>
      <c r="G43" s="165">
        <f t="shared" si="6"/>
        <v>94188.982555249197</v>
      </c>
      <c r="H43" s="147">
        <f t="shared" si="7"/>
        <v>94188.982555249197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496111.11111111066</v>
      </c>
      <c r="E44" s="164">
        <f t="shared" si="4"/>
        <v>25333.333333333332</v>
      </c>
      <c r="F44" s="163">
        <f t="shared" si="5"/>
        <v>470777.77777777734</v>
      </c>
      <c r="G44" s="165">
        <f t="shared" si="6"/>
        <v>90760.4854985563</v>
      </c>
      <c r="H44" s="147">
        <f t="shared" si="7"/>
        <v>90760.4854985563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470777.77777777734</v>
      </c>
      <c r="E45" s="164">
        <f t="shared" si="4"/>
        <v>25333.333333333332</v>
      </c>
      <c r="F45" s="163">
        <f t="shared" si="5"/>
        <v>445444.44444444403</v>
      </c>
      <c r="G45" s="165">
        <f t="shared" si="6"/>
        <v>87331.988441863388</v>
      </c>
      <c r="H45" s="147">
        <f t="shared" si="7"/>
        <v>87331.988441863388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445444.44444444403</v>
      </c>
      <c r="E46" s="164">
        <f t="shared" si="4"/>
        <v>25333.333333333332</v>
      </c>
      <c r="F46" s="163">
        <f t="shared" si="5"/>
        <v>420111.11111111072</v>
      </c>
      <c r="G46" s="165">
        <f t="shared" si="6"/>
        <v>83903.491385170491</v>
      </c>
      <c r="H46" s="147">
        <f t="shared" si="7"/>
        <v>83903.491385170491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420111.11111111072</v>
      </c>
      <c r="E47" s="164">
        <f t="shared" si="4"/>
        <v>25333.333333333332</v>
      </c>
      <c r="F47" s="163">
        <f t="shared" si="5"/>
        <v>394777.7777777774</v>
      </c>
      <c r="G47" s="165">
        <f t="shared" si="6"/>
        <v>80474.994328477565</v>
      </c>
      <c r="H47" s="147">
        <f t="shared" si="7"/>
        <v>80474.994328477565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394777.7777777774</v>
      </c>
      <c r="E48" s="164">
        <f t="shared" si="4"/>
        <v>25333.333333333332</v>
      </c>
      <c r="F48" s="163">
        <f t="shared" si="5"/>
        <v>369444.44444444409</v>
      </c>
      <c r="G48" s="165">
        <f t="shared" si="6"/>
        <v>77046.497271784669</v>
      </c>
      <c r="H48" s="147">
        <f t="shared" si="7"/>
        <v>77046.497271784669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369444.44444444409</v>
      </c>
      <c r="E49" s="164">
        <f t="shared" si="4"/>
        <v>25333.333333333332</v>
      </c>
      <c r="F49" s="163">
        <f t="shared" si="5"/>
        <v>344111.11111111077</v>
      </c>
      <c r="G49" s="165">
        <f t="shared" si="6"/>
        <v>73618.000215091757</v>
      </c>
      <c r="H49" s="147">
        <f t="shared" si="7"/>
        <v>73618.000215091757</v>
      </c>
      <c r="I49" s="160">
        <f t="shared" si="0"/>
        <v>0</v>
      </c>
      <c r="J49" s="160"/>
      <c r="K49" s="330"/>
      <c r="L49" s="162">
        <f t="shared" si="1"/>
        <v>0</v>
      </c>
      <c r="M49" s="330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344111.11111111077</v>
      </c>
      <c r="E50" s="164">
        <f t="shared" si="4"/>
        <v>25333.333333333332</v>
      </c>
      <c r="F50" s="163">
        <f t="shared" si="5"/>
        <v>318777.77777777746</v>
      </c>
      <c r="G50" s="165">
        <f t="shared" si="6"/>
        <v>70189.50315839886</v>
      </c>
      <c r="H50" s="147">
        <f t="shared" si="7"/>
        <v>70189.50315839886</v>
      </c>
      <c r="I50" s="160">
        <f t="shared" si="0"/>
        <v>0</v>
      </c>
      <c r="J50" s="160"/>
      <c r="K50" s="330"/>
      <c r="L50" s="162">
        <f t="shared" si="1"/>
        <v>0</v>
      </c>
      <c r="M50" s="330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318777.77777777746</v>
      </c>
      <c r="E51" s="164">
        <f t="shared" si="4"/>
        <v>25333.333333333332</v>
      </c>
      <c r="F51" s="163">
        <f t="shared" si="5"/>
        <v>293444.44444444415</v>
      </c>
      <c r="G51" s="165">
        <f t="shared" si="6"/>
        <v>66761.006101705949</v>
      </c>
      <c r="H51" s="147">
        <f t="shared" si="7"/>
        <v>66761.006101705949</v>
      </c>
      <c r="I51" s="160">
        <f t="shared" si="0"/>
        <v>0</v>
      </c>
      <c r="J51" s="160"/>
      <c r="K51" s="330"/>
      <c r="L51" s="162">
        <f t="shared" si="1"/>
        <v>0</v>
      </c>
      <c r="M51" s="330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293444.44444444415</v>
      </c>
      <c r="E52" s="164">
        <f t="shared" si="4"/>
        <v>25333.333333333332</v>
      </c>
      <c r="F52" s="163">
        <f t="shared" si="5"/>
        <v>268111.11111111083</v>
      </c>
      <c r="G52" s="165">
        <f t="shared" si="6"/>
        <v>63332.509045013052</v>
      </c>
      <c r="H52" s="147">
        <f t="shared" si="7"/>
        <v>63332.509045013052</v>
      </c>
      <c r="I52" s="160">
        <f t="shared" si="0"/>
        <v>0</v>
      </c>
      <c r="J52" s="160"/>
      <c r="K52" s="330"/>
      <c r="L52" s="162">
        <f t="shared" si="1"/>
        <v>0</v>
      </c>
      <c r="M52" s="330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268111.11111111083</v>
      </c>
      <c r="E53" s="164">
        <f t="shared" si="4"/>
        <v>25333.333333333332</v>
      </c>
      <c r="F53" s="163">
        <f t="shared" si="5"/>
        <v>242777.77777777749</v>
      </c>
      <c r="G53" s="165">
        <f t="shared" si="6"/>
        <v>59904.011988320126</v>
      </c>
      <c r="H53" s="147">
        <f t="shared" si="7"/>
        <v>59904.011988320126</v>
      </c>
      <c r="I53" s="160">
        <f t="shared" si="0"/>
        <v>0</v>
      </c>
      <c r="J53" s="160"/>
      <c r="K53" s="330"/>
      <c r="L53" s="162">
        <f t="shared" si="1"/>
        <v>0</v>
      </c>
      <c r="M53" s="330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242777.77777777749</v>
      </c>
      <c r="E54" s="164">
        <f t="shared" si="4"/>
        <v>25333.333333333332</v>
      </c>
      <c r="F54" s="163">
        <f t="shared" si="5"/>
        <v>217444.44444444415</v>
      </c>
      <c r="G54" s="165">
        <f t="shared" si="6"/>
        <v>56475.514931627222</v>
      </c>
      <c r="H54" s="147">
        <f t="shared" si="7"/>
        <v>56475.514931627222</v>
      </c>
      <c r="I54" s="160">
        <f t="shared" si="0"/>
        <v>0</v>
      </c>
      <c r="J54" s="160"/>
      <c r="K54" s="330"/>
      <c r="L54" s="162">
        <f t="shared" si="1"/>
        <v>0</v>
      </c>
      <c r="M54" s="330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217444.44444444415</v>
      </c>
      <c r="E55" s="164">
        <f t="shared" si="4"/>
        <v>25333.333333333332</v>
      </c>
      <c r="F55" s="163">
        <f t="shared" si="5"/>
        <v>192111.1111111108</v>
      </c>
      <c r="G55" s="165">
        <f t="shared" si="6"/>
        <v>53047.017874934303</v>
      </c>
      <c r="H55" s="147">
        <f t="shared" si="7"/>
        <v>53047.017874934303</v>
      </c>
      <c r="I55" s="160">
        <f t="shared" si="0"/>
        <v>0</v>
      </c>
      <c r="J55" s="160"/>
      <c r="K55" s="330"/>
      <c r="L55" s="162">
        <f t="shared" si="1"/>
        <v>0</v>
      </c>
      <c r="M55" s="330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192111.1111111108</v>
      </c>
      <c r="E56" s="164">
        <f t="shared" si="4"/>
        <v>25333.333333333332</v>
      </c>
      <c r="F56" s="163">
        <f t="shared" si="5"/>
        <v>166777.77777777746</v>
      </c>
      <c r="G56" s="165">
        <f t="shared" si="6"/>
        <v>49618.520818241406</v>
      </c>
      <c r="H56" s="147">
        <f t="shared" si="7"/>
        <v>49618.520818241406</v>
      </c>
      <c r="I56" s="160">
        <f t="shared" si="0"/>
        <v>0</v>
      </c>
      <c r="J56" s="160"/>
      <c r="K56" s="330"/>
      <c r="L56" s="162">
        <f t="shared" si="1"/>
        <v>0</v>
      </c>
      <c r="M56" s="330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166777.77777777746</v>
      </c>
      <c r="E57" s="164">
        <f t="shared" si="4"/>
        <v>25333.333333333332</v>
      </c>
      <c r="F57" s="163">
        <f t="shared" si="5"/>
        <v>141444.44444444412</v>
      </c>
      <c r="G57" s="165">
        <f t="shared" si="6"/>
        <v>46190.023761548488</v>
      </c>
      <c r="H57" s="147">
        <f t="shared" si="7"/>
        <v>46190.023761548488</v>
      </c>
      <c r="I57" s="160">
        <f t="shared" si="0"/>
        <v>0</v>
      </c>
      <c r="J57" s="160"/>
      <c r="K57" s="330"/>
      <c r="L57" s="162">
        <f t="shared" si="1"/>
        <v>0</v>
      </c>
      <c r="M57" s="330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141444.44444444412</v>
      </c>
      <c r="E58" s="164">
        <f t="shared" si="4"/>
        <v>25333.333333333332</v>
      </c>
      <c r="F58" s="163">
        <f t="shared" si="5"/>
        <v>116111.11111111079</v>
      </c>
      <c r="G58" s="165">
        <f t="shared" si="6"/>
        <v>42761.526704855583</v>
      </c>
      <c r="H58" s="147">
        <f t="shared" si="7"/>
        <v>42761.526704855583</v>
      </c>
      <c r="I58" s="160">
        <f t="shared" si="0"/>
        <v>0</v>
      </c>
      <c r="J58" s="160"/>
      <c r="K58" s="330"/>
      <c r="L58" s="162">
        <f t="shared" si="1"/>
        <v>0</v>
      </c>
      <c r="M58" s="330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116111.11111111079</v>
      </c>
      <c r="E59" s="164">
        <f t="shared" si="4"/>
        <v>25333.333333333332</v>
      </c>
      <c r="F59" s="163">
        <f t="shared" si="5"/>
        <v>90777.777777777461</v>
      </c>
      <c r="G59" s="165">
        <f t="shared" si="6"/>
        <v>39333.029648162672</v>
      </c>
      <c r="H59" s="147">
        <f t="shared" si="7"/>
        <v>39333.029648162672</v>
      </c>
      <c r="I59" s="160">
        <f t="shared" si="0"/>
        <v>0</v>
      </c>
      <c r="J59" s="160"/>
      <c r="K59" s="330"/>
      <c r="L59" s="162">
        <f t="shared" si="1"/>
        <v>0</v>
      </c>
      <c r="M59" s="330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90777.777777777461</v>
      </c>
      <c r="E60" s="164">
        <f t="shared" si="4"/>
        <v>25333.333333333332</v>
      </c>
      <c r="F60" s="163">
        <f t="shared" si="5"/>
        <v>65444.444444444132</v>
      </c>
      <c r="G60" s="165">
        <f t="shared" si="6"/>
        <v>35904.532591469761</v>
      </c>
      <c r="H60" s="147">
        <f t="shared" si="7"/>
        <v>35904.532591469761</v>
      </c>
      <c r="I60" s="160">
        <f t="shared" si="0"/>
        <v>0</v>
      </c>
      <c r="J60" s="160"/>
      <c r="K60" s="330"/>
      <c r="L60" s="162">
        <f t="shared" si="1"/>
        <v>0</v>
      </c>
      <c r="M60" s="330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65444.444444444132</v>
      </c>
      <c r="E61" s="164">
        <f t="shared" si="4"/>
        <v>25333.333333333332</v>
      </c>
      <c r="F61" s="163">
        <f t="shared" si="5"/>
        <v>40111.111111110804</v>
      </c>
      <c r="G61" s="165">
        <f t="shared" si="6"/>
        <v>32476.035534776853</v>
      </c>
      <c r="H61" s="147">
        <f t="shared" si="7"/>
        <v>32476.035534776853</v>
      </c>
      <c r="I61" s="160">
        <f t="shared" si="0"/>
        <v>0</v>
      </c>
      <c r="J61" s="160"/>
      <c r="K61" s="330"/>
      <c r="L61" s="162">
        <f t="shared" si="1"/>
        <v>0</v>
      </c>
      <c r="M61" s="330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40111.111111110804</v>
      </c>
      <c r="E62" s="164">
        <f t="shared" si="4"/>
        <v>25333.333333333332</v>
      </c>
      <c r="F62" s="163">
        <f t="shared" si="5"/>
        <v>14777.777777777472</v>
      </c>
      <c r="G62" s="165">
        <f t="shared" si="6"/>
        <v>29047.538478083945</v>
      </c>
      <c r="H62" s="147">
        <f t="shared" si="7"/>
        <v>29047.538478083945</v>
      </c>
      <c r="I62" s="160">
        <f t="shared" si="0"/>
        <v>0</v>
      </c>
      <c r="J62" s="160"/>
      <c r="K62" s="330"/>
      <c r="L62" s="162">
        <f t="shared" si="1"/>
        <v>0</v>
      </c>
      <c r="M62" s="330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14777.777777777472</v>
      </c>
      <c r="E63" s="164">
        <f t="shared" si="4"/>
        <v>14777.777777777472</v>
      </c>
      <c r="F63" s="163">
        <f t="shared" si="5"/>
        <v>0</v>
      </c>
      <c r="G63" s="165">
        <f t="shared" si="6"/>
        <v>15777.75608597955</v>
      </c>
      <c r="H63" s="147">
        <f t="shared" si="7"/>
        <v>15777.75608597955</v>
      </c>
      <c r="I63" s="160">
        <f t="shared" si="0"/>
        <v>0</v>
      </c>
      <c r="J63" s="160"/>
      <c r="K63" s="330"/>
      <c r="L63" s="162">
        <f t="shared" si="1"/>
        <v>0</v>
      </c>
      <c r="M63" s="330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0"/>
      <c r="L64" s="162">
        <f t="shared" si="1"/>
        <v>0</v>
      </c>
      <c r="M64" s="330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0"/>
      <c r="L65" s="162">
        <f t="shared" si="1"/>
        <v>0</v>
      </c>
      <c r="M65" s="330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0"/>
      <c r="L66" s="162">
        <f t="shared" si="1"/>
        <v>0</v>
      </c>
      <c r="M66" s="330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0"/>
      <c r="L67" s="162">
        <f t="shared" si="1"/>
        <v>0</v>
      </c>
      <c r="M67" s="330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0"/>
      <c r="L68" s="162">
        <f t="shared" si="1"/>
        <v>0</v>
      </c>
      <c r="M68" s="330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0"/>
      <c r="L69" s="162">
        <f t="shared" si="1"/>
        <v>0</v>
      </c>
      <c r="M69" s="330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0"/>
      <c r="L70" s="162">
        <f t="shared" si="1"/>
        <v>0</v>
      </c>
      <c r="M70" s="330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0"/>
      <c r="L71" s="162">
        <f t="shared" si="1"/>
        <v>0</v>
      </c>
      <c r="M71" s="330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36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2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1"/>
      <c r="L72" s="173">
        <f t="shared" si="1"/>
        <v>0</v>
      </c>
      <c r="M72" s="331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77</v>
      </c>
      <c r="D73" s="115"/>
      <c r="E73" s="115">
        <f>SUM(E17:E72)</f>
        <v>1140000</v>
      </c>
      <c r="F73" s="115"/>
      <c r="G73" s="115">
        <f>SUM(G17:G72)</f>
        <v>4655657.4040843127</v>
      </c>
      <c r="H73" s="115">
        <f>SUM(H17:H72)</f>
        <v>4655657.4040843127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20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87696.739331146033</v>
      </c>
      <c r="N87" s="202">
        <f>IF(J92&lt;D11,0,VLOOKUP(J92,C17:O72,11))</f>
        <v>87696.739331146033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72305.937255510624</v>
      </c>
      <c r="N88" s="204">
        <f>IF(J92&lt;D11,0,VLOOKUP(J92,C99:P154,7))</f>
        <v>72305.937255510624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Sayre 138 kV Capacitor Bank Addition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-15390.802075635409</v>
      </c>
      <c r="N89" s="207">
        <f>+N88-N87</f>
        <v>-15390.802075635409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TP2015202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v>1140000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2018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v>7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26512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2018</v>
      </c>
      <c r="D99" s="413">
        <v>0</v>
      </c>
      <c r="E99" s="418">
        <v>0</v>
      </c>
      <c r="F99" s="413">
        <v>1140000</v>
      </c>
      <c r="G99" s="418">
        <v>570000</v>
      </c>
      <c r="H99" s="416">
        <v>72305.937255510624</v>
      </c>
      <c r="I99" s="427">
        <v>72305.937255510624</v>
      </c>
      <c r="J99" s="162">
        <f t="shared" ref="J99:J130" si="9">+I99-H99</f>
        <v>0</v>
      </c>
      <c r="K99" s="162"/>
      <c r="L99" s="161">
        <f>+H99</f>
        <v>72305.937255510624</v>
      </c>
      <c r="M99" s="161">
        <f t="shared" ref="M99:M130" si="10">IF(L99&lt;&gt;0,+H99-L99,0)</f>
        <v>0</v>
      </c>
      <c r="N99" s="161">
        <f>+I99</f>
        <v>72305.937255510624</v>
      </c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1140000</v>
      </c>
      <c r="E100" s="164">
        <f>IF(+J$96&lt;F99,J$96,D100)</f>
        <v>26512</v>
      </c>
      <c r="F100" s="163">
        <f>+D100-E100</f>
        <v>1113488</v>
      </c>
      <c r="G100" s="163">
        <f>+(F100+D100)/2</f>
        <v>1126744</v>
      </c>
      <c r="H100" s="328">
        <f t="shared" ref="H100:H154" si="13">+J$94*G100+E100</f>
        <v>142268.68350882886</v>
      </c>
      <c r="I100" s="339">
        <f t="shared" ref="I100:I154" si="14">+J$95*G100+E100</f>
        <v>142268.68350882886</v>
      </c>
      <c r="J100" s="162">
        <f t="shared" si="9"/>
        <v>0</v>
      </c>
      <c r="K100" s="162"/>
      <c r="L100" s="330"/>
      <c r="M100" s="162">
        <f t="shared" si="10"/>
        <v>0</v>
      </c>
      <c r="N100" s="330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1113488</v>
      </c>
      <c r="E101" s="164">
        <f t="shared" ref="E101:E154" si="16">IF(+J$96&lt;F100,J$96,D101)</f>
        <v>26512</v>
      </c>
      <c r="F101" s="163">
        <f t="shared" ref="F101:F154" si="17">+D101-E101</f>
        <v>1086976</v>
      </c>
      <c r="G101" s="163">
        <f t="shared" ref="G101:G154" si="18">+(F101+D101)/2</f>
        <v>1100232</v>
      </c>
      <c r="H101" s="328">
        <f t="shared" si="13"/>
        <v>139544.95816111361</v>
      </c>
      <c r="I101" s="339">
        <f t="shared" si="14"/>
        <v>139544.95816111361</v>
      </c>
      <c r="J101" s="162">
        <f t="shared" si="9"/>
        <v>0</v>
      </c>
      <c r="K101" s="162"/>
      <c r="L101" s="330"/>
      <c r="M101" s="162">
        <f t="shared" si="10"/>
        <v>0</v>
      </c>
      <c r="N101" s="330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1086976</v>
      </c>
      <c r="E102" s="164">
        <f t="shared" si="16"/>
        <v>26512</v>
      </c>
      <c r="F102" s="163">
        <f t="shared" si="17"/>
        <v>1060464</v>
      </c>
      <c r="G102" s="163">
        <f t="shared" si="18"/>
        <v>1073720</v>
      </c>
      <c r="H102" s="328">
        <f t="shared" si="13"/>
        <v>136821.23281339835</v>
      </c>
      <c r="I102" s="339">
        <f t="shared" si="14"/>
        <v>136821.23281339835</v>
      </c>
      <c r="J102" s="162">
        <f t="shared" si="9"/>
        <v>0</v>
      </c>
      <c r="K102" s="162"/>
      <c r="L102" s="330"/>
      <c r="M102" s="162">
        <f t="shared" si="10"/>
        <v>0</v>
      </c>
      <c r="N102" s="330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1060464</v>
      </c>
      <c r="E103" s="164">
        <f t="shared" si="16"/>
        <v>26512</v>
      </c>
      <c r="F103" s="163">
        <f t="shared" si="17"/>
        <v>1033952</v>
      </c>
      <c r="G103" s="163">
        <f t="shared" si="18"/>
        <v>1047208</v>
      </c>
      <c r="H103" s="328">
        <f t="shared" si="13"/>
        <v>134097.50746568313</v>
      </c>
      <c r="I103" s="339">
        <f t="shared" si="14"/>
        <v>134097.50746568313</v>
      </c>
      <c r="J103" s="162">
        <f t="shared" si="9"/>
        <v>0</v>
      </c>
      <c r="K103" s="162"/>
      <c r="L103" s="330"/>
      <c r="M103" s="162">
        <f t="shared" si="10"/>
        <v>0</v>
      </c>
      <c r="N103" s="330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1033952</v>
      </c>
      <c r="E104" s="164">
        <f t="shared" si="16"/>
        <v>26512</v>
      </c>
      <c r="F104" s="163">
        <f t="shared" si="17"/>
        <v>1007440</v>
      </c>
      <c r="G104" s="163">
        <f t="shared" si="18"/>
        <v>1020696</v>
      </c>
      <c r="H104" s="328">
        <f t="shared" si="13"/>
        <v>131373.78211796787</v>
      </c>
      <c r="I104" s="339">
        <f t="shared" si="14"/>
        <v>131373.78211796787</v>
      </c>
      <c r="J104" s="162">
        <f t="shared" si="9"/>
        <v>0</v>
      </c>
      <c r="K104" s="162"/>
      <c r="L104" s="330"/>
      <c r="M104" s="162">
        <f t="shared" si="10"/>
        <v>0</v>
      </c>
      <c r="N104" s="330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1007440</v>
      </c>
      <c r="E105" s="164">
        <f t="shared" si="16"/>
        <v>26512</v>
      </c>
      <c r="F105" s="163">
        <f t="shared" si="17"/>
        <v>980928</v>
      </c>
      <c r="G105" s="163">
        <f t="shared" si="18"/>
        <v>994184</v>
      </c>
      <c r="H105" s="328">
        <f t="shared" si="13"/>
        <v>128650.05677025262</v>
      </c>
      <c r="I105" s="339">
        <f t="shared" si="14"/>
        <v>128650.05677025262</v>
      </c>
      <c r="J105" s="162">
        <f t="shared" si="9"/>
        <v>0</v>
      </c>
      <c r="K105" s="162"/>
      <c r="L105" s="330"/>
      <c r="M105" s="162">
        <f t="shared" si="10"/>
        <v>0</v>
      </c>
      <c r="N105" s="330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980928</v>
      </c>
      <c r="E106" s="164">
        <f t="shared" si="16"/>
        <v>26512</v>
      </c>
      <c r="F106" s="163">
        <f t="shared" si="17"/>
        <v>954416</v>
      </c>
      <c r="G106" s="163">
        <f t="shared" si="18"/>
        <v>967672</v>
      </c>
      <c r="H106" s="328">
        <f t="shared" si="13"/>
        <v>125926.33142253738</v>
      </c>
      <c r="I106" s="339">
        <f t="shared" si="14"/>
        <v>125926.33142253738</v>
      </c>
      <c r="J106" s="162">
        <f t="shared" si="9"/>
        <v>0</v>
      </c>
      <c r="K106" s="162"/>
      <c r="L106" s="330"/>
      <c r="M106" s="162">
        <f t="shared" si="10"/>
        <v>0</v>
      </c>
      <c r="N106" s="330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954416</v>
      </c>
      <c r="E107" s="164">
        <f t="shared" si="16"/>
        <v>26512</v>
      </c>
      <c r="F107" s="163">
        <f t="shared" si="17"/>
        <v>927904</v>
      </c>
      <c r="G107" s="163">
        <f t="shared" si="18"/>
        <v>941160</v>
      </c>
      <c r="H107" s="328">
        <f t="shared" si="13"/>
        <v>123202.60607482212</v>
      </c>
      <c r="I107" s="339">
        <f t="shared" si="14"/>
        <v>123202.60607482212</v>
      </c>
      <c r="J107" s="162">
        <f t="shared" si="9"/>
        <v>0</v>
      </c>
      <c r="K107" s="162"/>
      <c r="L107" s="330"/>
      <c r="M107" s="162">
        <f t="shared" si="10"/>
        <v>0</v>
      </c>
      <c r="N107" s="330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927904</v>
      </c>
      <c r="E108" s="164">
        <f t="shared" si="16"/>
        <v>26512</v>
      </c>
      <c r="F108" s="163">
        <f t="shared" si="17"/>
        <v>901392</v>
      </c>
      <c r="G108" s="163">
        <f t="shared" si="18"/>
        <v>914648</v>
      </c>
      <c r="H108" s="328">
        <f t="shared" si="13"/>
        <v>120478.88072710688</v>
      </c>
      <c r="I108" s="339">
        <f t="shared" si="14"/>
        <v>120478.88072710688</v>
      </c>
      <c r="J108" s="162">
        <f t="shared" si="9"/>
        <v>0</v>
      </c>
      <c r="K108" s="162"/>
      <c r="L108" s="330"/>
      <c r="M108" s="162">
        <f t="shared" si="10"/>
        <v>0</v>
      </c>
      <c r="N108" s="330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901392</v>
      </c>
      <c r="E109" s="164">
        <f t="shared" si="16"/>
        <v>26512</v>
      </c>
      <c r="F109" s="163">
        <f t="shared" si="17"/>
        <v>874880</v>
      </c>
      <c r="G109" s="163">
        <f t="shared" si="18"/>
        <v>888136</v>
      </c>
      <c r="H109" s="328">
        <f t="shared" si="13"/>
        <v>117755.15537939162</v>
      </c>
      <c r="I109" s="339">
        <f t="shared" si="14"/>
        <v>117755.15537939162</v>
      </c>
      <c r="J109" s="162">
        <f t="shared" si="9"/>
        <v>0</v>
      </c>
      <c r="K109" s="162"/>
      <c r="L109" s="330"/>
      <c r="M109" s="162">
        <f t="shared" si="10"/>
        <v>0</v>
      </c>
      <c r="N109" s="330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874880</v>
      </c>
      <c r="E110" s="164">
        <f t="shared" si="16"/>
        <v>26512</v>
      </c>
      <c r="F110" s="163">
        <f t="shared" si="17"/>
        <v>848368</v>
      </c>
      <c r="G110" s="163">
        <f t="shared" si="18"/>
        <v>861624</v>
      </c>
      <c r="H110" s="328">
        <f t="shared" si="13"/>
        <v>115031.43003167638</v>
      </c>
      <c r="I110" s="339">
        <f t="shared" si="14"/>
        <v>115031.43003167638</v>
      </c>
      <c r="J110" s="162">
        <f t="shared" si="9"/>
        <v>0</v>
      </c>
      <c r="K110" s="162"/>
      <c r="L110" s="330"/>
      <c r="M110" s="162">
        <f t="shared" si="10"/>
        <v>0</v>
      </c>
      <c r="N110" s="330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848368</v>
      </c>
      <c r="E111" s="164">
        <f t="shared" si="16"/>
        <v>26512</v>
      </c>
      <c r="F111" s="163">
        <f t="shared" si="17"/>
        <v>821856</v>
      </c>
      <c r="G111" s="163">
        <f t="shared" si="18"/>
        <v>835112</v>
      </c>
      <c r="H111" s="328">
        <f t="shared" si="13"/>
        <v>112307.70468396113</v>
      </c>
      <c r="I111" s="339">
        <f t="shared" si="14"/>
        <v>112307.70468396113</v>
      </c>
      <c r="J111" s="162">
        <f t="shared" si="9"/>
        <v>0</v>
      </c>
      <c r="K111" s="162"/>
      <c r="L111" s="330"/>
      <c r="M111" s="162">
        <f t="shared" si="10"/>
        <v>0</v>
      </c>
      <c r="N111" s="330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821856</v>
      </c>
      <c r="E112" s="164">
        <f t="shared" si="16"/>
        <v>26512</v>
      </c>
      <c r="F112" s="163">
        <f t="shared" si="17"/>
        <v>795344</v>
      </c>
      <c r="G112" s="163">
        <f t="shared" si="18"/>
        <v>808600</v>
      </c>
      <c r="H112" s="328">
        <f t="shared" si="13"/>
        <v>109583.97933624587</v>
      </c>
      <c r="I112" s="339">
        <f t="shared" si="14"/>
        <v>109583.97933624587</v>
      </c>
      <c r="J112" s="162">
        <f t="shared" si="9"/>
        <v>0</v>
      </c>
      <c r="K112" s="162"/>
      <c r="L112" s="330"/>
      <c r="M112" s="162">
        <f t="shared" si="10"/>
        <v>0</v>
      </c>
      <c r="N112" s="330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795344</v>
      </c>
      <c r="E113" s="164">
        <f t="shared" si="16"/>
        <v>26512</v>
      </c>
      <c r="F113" s="163">
        <f t="shared" si="17"/>
        <v>768832</v>
      </c>
      <c r="G113" s="163">
        <f t="shared" si="18"/>
        <v>782088</v>
      </c>
      <c r="H113" s="328">
        <f t="shared" si="13"/>
        <v>106860.25398853063</v>
      </c>
      <c r="I113" s="339">
        <f t="shared" si="14"/>
        <v>106860.25398853063</v>
      </c>
      <c r="J113" s="162">
        <f t="shared" si="9"/>
        <v>0</v>
      </c>
      <c r="K113" s="162"/>
      <c r="L113" s="330"/>
      <c r="M113" s="162">
        <f t="shared" si="10"/>
        <v>0</v>
      </c>
      <c r="N113" s="330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768832</v>
      </c>
      <c r="E114" s="164">
        <f t="shared" si="16"/>
        <v>26512</v>
      </c>
      <c r="F114" s="163">
        <f t="shared" si="17"/>
        <v>742320</v>
      </c>
      <c r="G114" s="163">
        <f t="shared" si="18"/>
        <v>755576</v>
      </c>
      <c r="H114" s="328">
        <f t="shared" si="13"/>
        <v>104136.52864081538</v>
      </c>
      <c r="I114" s="339">
        <f t="shared" si="14"/>
        <v>104136.52864081538</v>
      </c>
      <c r="J114" s="162">
        <f t="shared" si="9"/>
        <v>0</v>
      </c>
      <c r="K114" s="162"/>
      <c r="L114" s="330"/>
      <c r="M114" s="162">
        <f t="shared" si="10"/>
        <v>0</v>
      </c>
      <c r="N114" s="330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742320</v>
      </c>
      <c r="E115" s="164">
        <f t="shared" si="16"/>
        <v>26512</v>
      </c>
      <c r="F115" s="163">
        <f t="shared" si="17"/>
        <v>715808</v>
      </c>
      <c r="G115" s="163">
        <f t="shared" si="18"/>
        <v>729064</v>
      </c>
      <c r="H115" s="328">
        <f t="shared" si="13"/>
        <v>101412.80329310014</v>
      </c>
      <c r="I115" s="339">
        <f t="shared" si="14"/>
        <v>101412.80329310014</v>
      </c>
      <c r="J115" s="162">
        <f t="shared" si="9"/>
        <v>0</v>
      </c>
      <c r="K115" s="162"/>
      <c r="L115" s="330"/>
      <c r="M115" s="162">
        <f t="shared" si="10"/>
        <v>0</v>
      </c>
      <c r="N115" s="330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715808</v>
      </c>
      <c r="E116" s="164">
        <f t="shared" si="16"/>
        <v>26512</v>
      </c>
      <c r="F116" s="163">
        <f t="shared" si="17"/>
        <v>689296</v>
      </c>
      <c r="G116" s="163">
        <f t="shared" si="18"/>
        <v>702552</v>
      </c>
      <c r="H116" s="328">
        <f t="shared" si="13"/>
        <v>98689.077945384881</v>
      </c>
      <c r="I116" s="339">
        <f t="shared" si="14"/>
        <v>98689.077945384881</v>
      </c>
      <c r="J116" s="162">
        <f t="shared" si="9"/>
        <v>0</v>
      </c>
      <c r="K116" s="162"/>
      <c r="L116" s="330"/>
      <c r="M116" s="162">
        <f t="shared" si="10"/>
        <v>0</v>
      </c>
      <c r="N116" s="330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689296</v>
      </c>
      <c r="E117" s="164">
        <f t="shared" si="16"/>
        <v>26512</v>
      </c>
      <c r="F117" s="163">
        <f t="shared" si="17"/>
        <v>662784</v>
      </c>
      <c r="G117" s="163">
        <f t="shared" si="18"/>
        <v>676040</v>
      </c>
      <c r="H117" s="328">
        <f t="shared" si="13"/>
        <v>95965.352597669626</v>
      </c>
      <c r="I117" s="339">
        <f t="shared" si="14"/>
        <v>95965.352597669626</v>
      </c>
      <c r="J117" s="162">
        <f t="shared" si="9"/>
        <v>0</v>
      </c>
      <c r="K117" s="162"/>
      <c r="L117" s="330"/>
      <c r="M117" s="162">
        <f t="shared" si="10"/>
        <v>0</v>
      </c>
      <c r="N117" s="330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662784</v>
      </c>
      <c r="E118" s="164">
        <f t="shared" si="16"/>
        <v>26512</v>
      </c>
      <c r="F118" s="163">
        <f t="shared" si="17"/>
        <v>636272</v>
      </c>
      <c r="G118" s="163">
        <f t="shared" si="18"/>
        <v>649528</v>
      </c>
      <c r="H118" s="328">
        <f t="shared" si="13"/>
        <v>93241.627249954385</v>
      </c>
      <c r="I118" s="339">
        <f t="shared" si="14"/>
        <v>93241.627249954385</v>
      </c>
      <c r="J118" s="162">
        <f t="shared" si="9"/>
        <v>0</v>
      </c>
      <c r="K118" s="162"/>
      <c r="L118" s="330"/>
      <c r="M118" s="162">
        <f t="shared" si="10"/>
        <v>0</v>
      </c>
      <c r="N118" s="330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636272</v>
      </c>
      <c r="E119" s="164">
        <f t="shared" si="16"/>
        <v>26512</v>
      </c>
      <c r="F119" s="163">
        <f t="shared" si="17"/>
        <v>609760</v>
      </c>
      <c r="G119" s="163">
        <f t="shared" si="18"/>
        <v>623016</v>
      </c>
      <c r="H119" s="328">
        <f t="shared" si="13"/>
        <v>90517.901902239129</v>
      </c>
      <c r="I119" s="339">
        <f t="shared" si="14"/>
        <v>90517.901902239129</v>
      </c>
      <c r="J119" s="162">
        <f t="shared" si="9"/>
        <v>0</v>
      </c>
      <c r="K119" s="162"/>
      <c r="L119" s="330"/>
      <c r="M119" s="162">
        <f t="shared" si="10"/>
        <v>0</v>
      </c>
      <c r="N119" s="330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609760</v>
      </c>
      <c r="E120" s="164">
        <f t="shared" si="16"/>
        <v>26512</v>
      </c>
      <c r="F120" s="163">
        <f t="shared" si="17"/>
        <v>583248</v>
      </c>
      <c r="G120" s="163">
        <f t="shared" si="18"/>
        <v>596504</v>
      </c>
      <c r="H120" s="328">
        <f t="shared" si="13"/>
        <v>87794.176554523874</v>
      </c>
      <c r="I120" s="339">
        <f t="shared" si="14"/>
        <v>87794.176554523874</v>
      </c>
      <c r="J120" s="162">
        <f t="shared" si="9"/>
        <v>0</v>
      </c>
      <c r="K120" s="162"/>
      <c r="L120" s="330"/>
      <c r="M120" s="162">
        <f t="shared" si="10"/>
        <v>0</v>
      </c>
      <c r="N120" s="330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583248</v>
      </c>
      <c r="E121" s="164">
        <f t="shared" si="16"/>
        <v>26512</v>
      </c>
      <c r="F121" s="163">
        <f t="shared" si="17"/>
        <v>556736</v>
      </c>
      <c r="G121" s="163">
        <f t="shared" si="18"/>
        <v>569992</v>
      </c>
      <c r="H121" s="328">
        <f t="shared" si="13"/>
        <v>85070.451206808633</v>
      </c>
      <c r="I121" s="339">
        <f t="shared" si="14"/>
        <v>85070.451206808633</v>
      </c>
      <c r="J121" s="162">
        <f t="shared" si="9"/>
        <v>0</v>
      </c>
      <c r="K121" s="162"/>
      <c r="L121" s="330"/>
      <c r="M121" s="162">
        <f t="shared" si="10"/>
        <v>0</v>
      </c>
      <c r="N121" s="330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556736</v>
      </c>
      <c r="E122" s="164">
        <f t="shared" si="16"/>
        <v>26512</v>
      </c>
      <c r="F122" s="163">
        <f t="shared" si="17"/>
        <v>530224</v>
      </c>
      <c r="G122" s="163">
        <f t="shared" si="18"/>
        <v>543480</v>
      </c>
      <c r="H122" s="328">
        <f t="shared" si="13"/>
        <v>82346.725859093393</v>
      </c>
      <c r="I122" s="339">
        <f t="shared" si="14"/>
        <v>82346.725859093393</v>
      </c>
      <c r="J122" s="162">
        <f t="shared" si="9"/>
        <v>0</v>
      </c>
      <c r="K122" s="162"/>
      <c r="L122" s="330"/>
      <c r="M122" s="162">
        <f t="shared" si="10"/>
        <v>0</v>
      </c>
      <c r="N122" s="330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530224</v>
      </c>
      <c r="E123" s="164">
        <f t="shared" si="16"/>
        <v>26512</v>
      </c>
      <c r="F123" s="163">
        <f t="shared" si="17"/>
        <v>503712</v>
      </c>
      <c r="G123" s="163">
        <f t="shared" si="18"/>
        <v>516968</v>
      </c>
      <c r="H123" s="328">
        <f t="shared" si="13"/>
        <v>79623.000511378137</v>
      </c>
      <c r="I123" s="339">
        <f t="shared" si="14"/>
        <v>79623.000511378137</v>
      </c>
      <c r="J123" s="162">
        <f t="shared" si="9"/>
        <v>0</v>
      </c>
      <c r="K123" s="162"/>
      <c r="L123" s="330"/>
      <c r="M123" s="162">
        <f t="shared" si="10"/>
        <v>0</v>
      </c>
      <c r="N123" s="330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503712</v>
      </c>
      <c r="E124" s="164">
        <f t="shared" si="16"/>
        <v>26512</v>
      </c>
      <c r="F124" s="163">
        <f t="shared" si="17"/>
        <v>477200</v>
      </c>
      <c r="G124" s="163">
        <f t="shared" si="18"/>
        <v>490456</v>
      </c>
      <c r="H124" s="328">
        <f t="shared" si="13"/>
        <v>76899.275163662882</v>
      </c>
      <c r="I124" s="339">
        <f t="shared" si="14"/>
        <v>76899.275163662882</v>
      </c>
      <c r="J124" s="162">
        <f t="shared" si="9"/>
        <v>0</v>
      </c>
      <c r="K124" s="162"/>
      <c r="L124" s="330"/>
      <c r="M124" s="162">
        <f t="shared" si="10"/>
        <v>0</v>
      </c>
      <c r="N124" s="330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477200</v>
      </c>
      <c r="E125" s="164">
        <f t="shared" si="16"/>
        <v>26512</v>
      </c>
      <c r="F125" s="163">
        <f t="shared" si="17"/>
        <v>450688</v>
      </c>
      <c r="G125" s="163">
        <f t="shared" si="18"/>
        <v>463944</v>
      </c>
      <c r="H125" s="328">
        <f t="shared" si="13"/>
        <v>74175.549815947626</v>
      </c>
      <c r="I125" s="339">
        <f t="shared" si="14"/>
        <v>74175.549815947626</v>
      </c>
      <c r="J125" s="162">
        <f t="shared" si="9"/>
        <v>0</v>
      </c>
      <c r="K125" s="162"/>
      <c r="L125" s="330"/>
      <c r="M125" s="162">
        <f t="shared" si="10"/>
        <v>0</v>
      </c>
      <c r="N125" s="330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450688</v>
      </c>
      <c r="E126" s="164">
        <f t="shared" si="16"/>
        <v>26512</v>
      </c>
      <c r="F126" s="163">
        <f t="shared" si="17"/>
        <v>424176</v>
      </c>
      <c r="G126" s="163">
        <f t="shared" si="18"/>
        <v>437432</v>
      </c>
      <c r="H126" s="328">
        <f t="shared" si="13"/>
        <v>71451.824468232386</v>
      </c>
      <c r="I126" s="339">
        <f t="shared" si="14"/>
        <v>71451.824468232386</v>
      </c>
      <c r="J126" s="162">
        <f t="shared" si="9"/>
        <v>0</v>
      </c>
      <c r="K126" s="162"/>
      <c r="L126" s="330"/>
      <c r="M126" s="162">
        <f t="shared" si="10"/>
        <v>0</v>
      </c>
      <c r="N126" s="330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424176</v>
      </c>
      <c r="E127" s="164">
        <f t="shared" si="16"/>
        <v>26512</v>
      </c>
      <c r="F127" s="163">
        <f t="shared" si="17"/>
        <v>397664</v>
      </c>
      <c r="G127" s="163">
        <f t="shared" si="18"/>
        <v>410920</v>
      </c>
      <c r="H127" s="328">
        <f t="shared" si="13"/>
        <v>68728.099120517145</v>
      </c>
      <c r="I127" s="339">
        <f t="shared" si="14"/>
        <v>68728.099120517145</v>
      </c>
      <c r="J127" s="162">
        <f t="shared" si="9"/>
        <v>0</v>
      </c>
      <c r="K127" s="162"/>
      <c r="L127" s="330"/>
      <c r="M127" s="162">
        <f t="shared" si="10"/>
        <v>0</v>
      </c>
      <c r="N127" s="330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397664</v>
      </c>
      <c r="E128" s="164">
        <f t="shared" si="16"/>
        <v>26512</v>
      </c>
      <c r="F128" s="163">
        <f t="shared" si="17"/>
        <v>371152</v>
      </c>
      <c r="G128" s="163">
        <f t="shared" si="18"/>
        <v>384408</v>
      </c>
      <c r="H128" s="328">
        <f t="shared" si="13"/>
        <v>66004.37377280189</v>
      </c>
      <c r="I128" s="339">
        <f t="shared" si="14"/>
        <v>66004.37377280189</v>
      </c>
      <c r="J128" s="162">
        <f t="shared" si="9"/>
        <v>0</v>
      </c>
      <c r="K128" s="162"/>
      <c r="L128" s="330"/>
      <c r="M128" s="162">
        <f t="shared" si="10"/>
        <v>0</v>
      </c>
      <c r="N128" s="330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371152</v>
      </c>
      <c r="E129" s="164">
        <f t="shared" si="16"/>
        <v>26512</v>
      </c>
      <c r="F129" s="163">
        <f t="shared" si="17"/>
        <v>344640</v>
      </c>
      <c r="G129" s="163">
        <f t="shared" si="18"/>
        <v>357896</v>
      </c>
      <c r="H129" s="328">
        <f t="shared" si="13"/>
        <v>63280.648425086634</v>
      </c>
      <c r="I129" s="339">
        <f t="shared" si="14"/>
        <v>63280.648425086634</v>
      </c>
      <c r="J129" s="162">
        <f t="shared" si="9"/>
        <v>0</v>
      </c>
      <c r="K129" s="162"/>
      <c r="L129" s="330"/>
      <c r="M129" s="162">
        <f t="shared" si="10"/>
        <v>0</v>
      </c>
      <c r="N129" s="330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344640</v>
      </c>
      <c r="E130" s="164">
        <f t="shared" si="16"/>
        <v>26512</v>
      </c>
      <c r="F130" s="163">
        <f t="shared" si="17"/>
        <v>318128</v>
      </c>
      <c r="G130" s="163">
        <f t="shared" si="18"/>
        <v>331384</v>
      </c>
      <c r="H130" s="328">
        <f t="shared" si="13"/>
        <v>60556.923077371386</v>
      </c>
      <c r="I130" s="339">
        <f t="shared" si="14"/>
        <v>60556.923077371386</v>
      </c>
      <c r="J130" s="162">
        <f t="shared" si="9"/>
        <v>0</v>
      </c>
      <c r="K130" s="162"/>
      <c r="L130" s="330"/>
      <c r="M130" s="162">
        <f t="shared" si="10"/>
        <v>0</v>
      </c>
      <c r="N130" s="330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318128</v>
      </c>
      <c r="E131" s="164">
        <f t="shared" si="16"/>
        <v>26512</v>
      </c>
      <c r="F131" s="163">
        <f t="shared" si="17"/>
        <v>291616</v>
      </c>
      <c r="G131" s="163">
        <f t="shared" si="18"/>
        <v>304872</v>
      </c>
      <c r="H131" s="328">
        <f t="shared" si="13"/>
        <v>57833.197729656138</v>
      </c>
      <c r="I131" s="339">
        <f t="shared" si="14"/>
        <v>57833.197729656138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291616</v>
      </c>
      <c r="E132" s="164">
        <f t="shared" si="16"/>
        <v>26512</v>
      </c>
      <c r="F132" s="163">
        <f t="shared" si="17"/>
        <v>265104</v>
      </c>
      <c r="G132" s="163">
        <f t="shared" si="18"/>
        <v>278360</v>
      </c>
      <c r="H132" s="328">
        <f t="shared" si="13"/>
        <v>55109.47238194089</v>
      </c>
      <c r="I132" s="339">
        <f t="shared" si="14"/>
        <v>55109.47238194089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265104</v>
      </c>
      <c r="E133" s="164">
        <f t="shared" si="16"/>
        <v>26512</v>
      </c>
      <c r="F133" s="163">
        <f t="shared" si="17"/>
        <v>238592</v>
      </c>
      <c r="G133" s="163">
        <f t="shared" si="18"/>
        <v>251848</v>
      </c>
      <c r="H133" s="328">
        <f t="shared" si="13"/>
        <v>52385.747034225642</v>
      </c>
      <c r="I133" s="339">
        <f t="shared" si="14"/>
        <v>52385.747034225642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238592</v>
      </c>
      <c r="E134" s="164">
        <f t="shared" si="16"/>
        <v>26512</v>
      </c>
      <c r="F134" s="163">
        <f t="shared" si="17"/>
        <v>212080</v>
      </c>
      <c r="G134" s="163">
        <f t="shared" si="18"/>
        <v>225336</v>
      </c>
      <c r="H134" s="328">
        <f t="shared" si="13"/>
        <v>49662.021686510387</v>
      </c>
      <c r="I134" s="339">
        <f t="shared" si="14"/>
        <v>49662.021686510387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212080</v>
      </c>
      <c r="E135" s="164">
        <f t="shared" si="16"/>
        <v>26512</v>
      </c>
      <c r="F135" s="163">
        <f t="shared" si="17"/>
        <v>185568</v>
      </c>
      <c r="G135" s="163">
        <f t="shared" si="18"/>
        <v>198824</v>
      </c>
      <c r="H135" s="328">
        <f t="shared" si="13"/>
        <v>46938.296338795139</v>
      </c>
      <c r="I135" s="339">
        <f t="shared" si="14"/>
        <v>46938.296338795139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185568</v>
      </c>
      <c r="E136" s="164">
        <f t="shared" si="16"/>
        <v>26512</v>
      </c>
      <c r="F136" s="163">
        <f t="shared" si="17"/>
        <v>159056</v>
      </c>
      <c r="G136" s="163">
        <f t="shared" si="18"/>
        <v>172312</v>
      </c>
      <c r="H136" s="328">
        <f t="shared" si="13"/>
        <v>44214.570991079891</v>
      </c>
      <c r="I136" s="339">
        <f t="shared" si="14"/>
        <v>44214.570991079891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159056</v>
      </c>
      <c r="E137" s="164">
        <f t="shared" si="16"/>
        <v>26512</v>
      </c>
      <c r="F137" s="163">
        <f t="shared" si="17"/>
        <v>132544</v>
      </c>
      <c r="G137" s="163">
        <f t="shared" si="18"/>
        <v>145800</v>
      </c>
      <c r="H137" s="328">
        <f t="shared" si="13"/>
        <v>41490.845643364642</v>
      </c>
      <c r="I137" s="339">
        <f t="shared" si="14"/>
        <v>41490.845643364642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132544</v>
      </c>
      <c r="E138" s="164">
        <f t="shared" si="16"/>
        <v>26512</v>
      </c>
      <c r="F138" s="163">
        <f t="shared" si="17"/>
        <v>106032</v>
      </c>
      <c r="G138" s="163">
        <f t="shared" si="18"/>
        <v>119288</v>
      </c>
      <c r="H138" s="328">
        <f t="shared" si="13"/>
        <v>38767.120295649394</v>
      </c>
      <c r="I138" s="339">
        <f t="shared" si="14"/>
        <v>38767.120295649394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106032</v>
      </c>
      <c r="E139" s="164">
        <f t="shared" si="16"/>
        <v>26512</v>
      </c>
      <c r="F139" s="163">
        <f t="shared" si="17"/>
        <v>79520</v>
      </c>
      <c r="G139" s="163">
        <f t="shared" si="18"/>
        <v>92776</v>
      </c>
      <c r="H139" s="328">
        <f t="shared" si="13"/>
        <v>36043.394947934139</v>
      </c>
      <c r="I139" s="339">
        <f t="shared" si="14"/>
        <v>36043.394947934139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79520</v>
      </c>
      <c r="E140" s="164">
        <f t="shared" si="16"/>
        <v>26512</v>
      </c>
      <c r="F140" s="163">
        <f t="shared" si="17"/>
        <v>53008</v>
      </c>
      <c r="G140" s="163">
        <f t="shared" si="18"/>
        <v>66264</v>
      </c>
      <c r="H140" s="328">
        <f t="shared" si="13"/>
        <v>33319.669600218891</v>
      </c>
      <c r="I140" s="339">
        <f t="shared" si="14"/>
        <v>33319.669600218891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53008</v>
      </c>
      <c r="E141" s="164">
        <f t="shared" si="16"/>
        <v>26512</v>
      </c>
      <c r="F141" s="163">
        <f t="shared" si="17"/>
        <v>26496</v>
      </c>
      <c r="G141" s="163">
        <f t="shared" si="18"/>
        <v>39752</v>
      </c>
      <c r="H141" s="328">
        <f t="shared" si="13"/>
        <v>30595.944252503643</v>
      </c>
      <c r="I141" s="339">
        <f t="shared" si="14"/>
        <v>30595.944252503643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26496</v>
      </c>
      <c r="E142" s="164">
        <f t="shared" si="16"/>
        <v>26496</v>
      </c>
      <c r="F142" s="163">
        <f t="shared" si="17"/>
        <v>0</v>
      </c>
      <c r="G142" s="163">
        <f t="shared" si="18"/>
        <v>13248</v>
      </c>
      <c r="H142" s="328">
        <f t="shared" si="13"/>
        <v>27857.040789323008</v>
      </c>
      <c r="I142" s="339">
        <f t="shared" si="14"/>
        <v>27857.040789323008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3"/>
        <v>0</v>
      </c>
      <c r="I143" s="339">
        <f t="shared" si="14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3"/>
        <v>0</v>
      </c>
      <c r="I144" s="339">
        <f t="shared" si="14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3"/>
        <v>0</v>
      </c>
      <c r="I145" s="339">
        <f t="shared" si="14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3"/>
        <v>0</v>
      </c>
      <c r="I146" s="339">
        <f t="shared" si="14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3"/>
        <v>0</v>
      </c>
      <c r="I147" s="339">
        <f t="shared" si="14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3"/>
        <v>0</v>
      </c>
      <c r="I148" s="339">
        <f t="shared" si="14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3"/>
        <v>0</v>
      </c>
      <c r="I149" s="339">
        <f t="shared" si="14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3"/>
        <v>0</v>
      </c>
      <c r="I150" s="339">
        <f t="shared" si="14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3"/>
        <v>0</v>
      </c>
      <c r="I151" s="339">
        <f t="shared" si="14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3"/>
        <v>0</v>
      </c>
      <c r="I152" s="339">
        <f t="shared" si="14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3"/>
        <v>0</v>
      </c>
      <c r="I153" s="339">
        <f t="shared" si="14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3"/>
        <v>0</v>
      </c>
      <c r="I154" s="341">
        <f t="shared" si="14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1140000</v>
      </c>
      <c r="F155" s="115"/>
      <c r="G155" s="115"/>
      <c r="H155" s="115">
        <f>SUM(H99:H154)</f>
        <v>3730320.1610328164</v>
      </c>
      <c r="I155" s="115">
        <f>SUM(I99:I154)</f>
        <v>3730320.1610328164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view="pageBreakPreview" zoomScale="78" zoomScaleNormal="100" zoomScaleSheetLayoutView="78" workbookViewId="0">
      <selection activeCell="D11" sqref="D1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21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40500.711549338856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40500.711549338856</v>
      </c>
      <c r="O6" s="1"/>
      <c r="P6" s="1"/>
    </row>
    <row r="7" spans="1:16" ht="13.5" thickBot="1">
      <c r="C7" s="127" t="s">
        <v>46</v>
      </c>
      <c r="D7" s="227" t="s">
        <v>279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300</v>
      </c>
      <c r="E9" s="406" t="s">
        <v>301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262000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5822.2222222222226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2017</v>
      </c>
      <c r="D17" s="413">
        <v>0</v>
      </c>
      <c r="E17" s="418">
        <v>2847.8260869565215</v>
      </c>
      <c r="F17" s="413">
        <v>259152.17391304349</v>
      </c>
      <c r="G17" s="418">
        <v>19337.763747649027</v>
      </c>
      <c r="H17" s="416">
        <v>19337.763747649027</v>
      </c>
      <c r="I17" s="160">
        <f t="shared" ref="I17:I72" si="0">H17-G17</f>
        <v>0</v>
      </c>
      <c r="J17" s="160"/>
      <c r="K17" s="161">
        <f>+G17</f>
        <v>19337.763747649027</v>
      </c>
      <c r="L17" s="161">
        <f t="shared" ref="L17:L72" si="1">IF(K17&lt;&gt;0,+G17-K17,0)</f>
        <v>0</v>
      </c>
      <c r="M17" s="161">
        <f>+H17</f>
        <v>19337.763747649027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13">
        <v>259152.17391304349</v>
      </c>
      <c r="E18" s="414">
        <v>5822.2222222222226</v>
      </c>
      <c r="F18" s="413">
        <v>253329.95169082127</v>
      </c>
      <c r="G18" s="414">
        <v>40500.711549338856</v>
      </c>
      <c r="H18" s="416">
        <v>40500.711549338856</v>
      </c>
      <c r="I18" s="160">
        <f t="shared" si="0"/>
        <v>0</v>
      </c>
      <c r="J18" s="160"/>
      <c r="K18" s="162">
        <f>+G18</f>
        <v>40500.711549338856</v>
      </c>
      <c r="L18" s="162">
        <f t="shared" si="1"/>
        <v>0</v>
      </c>
      <c r="M18" s="162">
        <f>+H18</f>
        <v>40500.711549338856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253329.95169082127</v>
      </c>
      <c r="E19" s="164">
        <f t="shared" ref="E19:E72" si="4">IF(+I$14&lt;F18,I$14,D19)</f>
        <v>5822.2222222222226</v>
      </c>
      <c r="F19" s="163">
        <f t="shared" ref="F19:F72" si="5">+D19-E19</f>
        <v>247507.72946859905</v>
      </c>
      <c r="G19" s="165">
        <f t="shared" ref="G19:G72" si="6">(D19+F19)/2*I$12+E19</f>
        <v>39712.758717011195</v>
      </c>
      <c r="H19" s="147">
        <f t="shared" ref="H19:H72" si="7">+(D19+F19)/2*I$13+E19</f>
        <v>39712.758717011195</v>
      </c>
      <c r="I19" s="160">
        <f t="shared" si="0"/>
        <v>0</v>
      </c>
      <c r="J19" s="160"/>
      <c r="K19" s="330"/>
      <c r="L19" s="162">
        <f t="shared" si="1"/>
        <v>0</v>
      </c>
      <c r="M19" s="330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247507.72946859905</v>
      </c>
      <c r="E20" s="164">
        <f t="shared" si="4"/>
        <v>5822.2222222222226</v>
      </c>
      <c r="F20" s="163">
        <f t="shared" si="5"/>
        <v>241685.50724637683</v>
      </c>
      <c r="G20" s="165">
        <f t="shared" si="6"/>
        <v>38924.805884683519</v>
      </c>
      <c r="H20" s="147">
        <f t="shared" si="7"/>
        <v>38924.805884683519</v>
      </c>
      <c r="I20" s="160">
        <f t="shared" si="0"/>
        <v>0</v>
      </c>
      <c r="J20" s="160"/>
      <c r="K20" s="330"/>
      <c r="L20" s="162">
        <f t="shared" si="1"/>
        <v>0</v>
      </c>
      <c r="M20" s="330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241685.50724637683</v>
      </c>
      <c r="E21" s="164">
        <f t="shared" si="4"/>
        <v>5822.2222222222226</v>
      </c>
      <c r="F21" s="163">
        <f t="shared" si="5"/>
        <v>235863.28502415461</v>
      </c>
      <c r="G21" s="165">
        <f t="shared" si="6"/>
        <v>38136.853052355858</v>
      </c>
      <c r="H21" s="147">
        <f t="shared" si="7"/>
        <v>38136.853052355858</v>
      </c>
      <c r="I21" s="160">
        <f t="shared" si="0"/>
        <v>0</v>
      </c>
      <c r="J21" s="160"/>
      <c r="K21" s="330"/>
      <c r="L21" s="162">
        <f t="shared" si="1"/>
        <v>0</v>
      </c>
      <c r="M21" s="330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235863.28502415461</v>
      </c>
      <c r="E22" s="164">
        <f t="shared" si="4"/>
        <v>5822.2222222222226</v>
      </c>
      <c r="F22" s="163">
        <f t="shared" si="5"/>
        <v>230041.06280193239</v>
      </c>
      <c r="G22" s="165">
        <f t="shared" si="6"/>
        <v>37348.90022002819</v>
      </c>
      <c r="H22" s="147">
        <f t="shared" si="7"/>
        <v>37348.90022002819</v>
      </c>
      <c r="I22" s="160">
        <f t="shared" si="0"/>
        <v>0</v>
      </c>
      <c r="J22" s="160"/>
      <c r="K22" s="330"/>
      <c r="L22" s="162">
        <f t="shared" si="1"/>
        <v>0</v>
      </c>
      <c r="M22" s="330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230041.06280193239</v>
      </c>
      <c r="E23" s="164">
        <f t="shared" si="4"/>
        <v>5822.2222222222226</v>
      </c>
      <c r="F23" s="163">
        <f t="shared" si="5"/>
        <v>224218.84057971017</v>
      </c>
      <c r="G23" s="165">
        <f t="shared" si="6"/>
        <v>36560.947387700522</v>
      </c>
      <c r="H23" s="147">
        <f t="shared" si="7"/>
        <v>36560.947387700522</v>
      </c>
      <c r="I23" s="160">
        <f t="shared" si="0"/>
        <v>0</v>
      </c>
      <c r="J23" s="160"/>
      <c r="K23" s="330"/>
      <c r="L23" s="162">
        <f t="shared" si="1"/>
        <v>0</v>
      </c>
      <c r="M23" s="330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224218.84057971017</v>
      </c>
      <c r="E24" s="164">
        <f t="shared" si="4"/>
        <v>5822.2222222222226</v>
      </c>
      <c r="F24" s="163">
        <f t="shared" si="5"/>
        <v>218396.61835748795</v>
      </c>
      <c r="G24" s="165">
        <f t="shared" si="6"/>
        <v>35772.994555372854</v>
      </c>
      <c r="H24" s="147">
        <f t="shared" si="7"/>
        <v>35772.994555372854</v>
      </c>
      <c r="I24" s="160">
        <f t="shared" si="0"/>
        <v>0</v>
      </c>
      <c r="J24" s="160"/>
      <c r="K24" s="330"/>
      <c r="L24" s="162">
        <f t="shared" si="1"/>
        <v>0</v>
      </c>
      <c r="M24" s="330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218396.61835748795</v>
      </c>
      <c r="E25" s="164">
        <f t="shared" si="4"/>
        <v>5822.2222222222226</v>
      </c>
      <c r="F25" s="163">
        <f t="shared" si="5"/>
        <v>212574.39613526574</v>
      </c>
      <c r="G25" s="165">
        <f t="shared" si="6"/>
        <v>34985.041723045186</v>
      </c>
      <c r="H25" s="147">
        <f t="shared" si="7"/>
        <v>34985.041723045186</v>
      </c>
      <c r="I25" s="160">
        <f t="shared" si="0"/>
        <v>0</v>
      </c>
      <c r="J25" s="160"/>
      <c r="K25" s="330"/>
      <c r="L25" s="162">
        <f t="shared" si="1"/>
        <v>0</v>
      </c>
      <c r="M25" s="330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212574.39613526574</v>
      </c>
      <c r="E26" s="164">
        <f t="shared" si="4"/>
        <v>5822.2222222222226</v>
      </c>
      <c r="F26" s="163">
        <f t="shared" si="5"/>
        <v>206752.17391304352</v>
      </c>
      <c r="G26" s="165">
        <f t="shared" si="6"/>
        <v>34197.088890717518</v>
      </c>
      <c r="H26" s="147">
        <f t="shared" si="7"/>
        <v>34197.088890717518</v>
      </c>
      <c r="I26" s="160">
        <f t="shared" si="0"/>
        <v>0</v>
      </c>
      <c r="J26" s="160"/>
      <c r="K26" s="330"/>
      <c r="L26" s="162">
        <f t="shared" si="1"/>
        <v>0</v>
      </c>
      <c r="M26" s="330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206752.17391304352</v>
      </c>
      <c r="E27" s="164">
        <f t="shared" si="4"/>
        <v>5822.2222222222226</v>
      </c>
      <c r="F27" s="163">
        <f t="shared" si="5"/>
        <v>200929.9516908213</v>
      </c>
      <c r="G27" s="165">
        <f t="shared" si="6"/>
        <v>33409.136058389849</v>
      </c>
      <c r="H27" s="147">
        <f t="shared" si="7"/>
        <v>33409.136058389849</v>
      </c>
      <c r="I27" s="160">
        <f t="shared" si="0"/>
        <v>0</v>
      </c>
      <c r="J27" s="160"/>
      <c r="K27" s="330"/>
      <c r="L27" s="162">
        <f t="shared" si="1"/>
        <v>0</v>
      </c>
      <c r="M27" s="330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200929.9516908213</v>
      </c>
      <c r="E28" s="164">
        <f t="shared" si="4"/>
        <v>5822.2222222222226</v>
      </c>
      <c r="F28" s="163">
        <f t="shared" si="5"/>
        <v>195107.72946859908</v>
      </c>
      <c r="G28" s="165">
        <f t="shared" si="6"/>
        <v>32621.183226062181</v>
      </c>
      <c r="H28" s="147">
        <f t="shared" si="7"/>
        <v>32621.183226062181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195107.72946859908</v>
      </c>
      <c r="E29" s="164">
        <f t="shared" si="4"/>
        <v>5822.2222222222226</v>
      </c>
      <c r="F29" s="163">
        <f t="shared" si="5"/>
        <v>189285.50724637686</v>
      </c>
      <c r="G29" s="165">
        <f t="shared" si="6"/>
        <v>31833.23039373451</v>
      </c>
      <c r="H29" s="147">
        <f t="shared" si="7"/>
        <v>31833.23039373451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189285.50724637686</v>
      </c>
      <c r="E30" s="164">
        <f t="shared" si="4"/>
        <v>5822.2222222222226</v>
      </c>
      <c r="F30" s="163">
        <f t="shared" si="5"/>
        <v>183463.28502415464</v>
      </c>
      <c r="G30" s="165">
        <f t="shared" si="6"/>
        <v>31045.277561406845</v>
      </c>
      <c r="H30" s="147">
        <f t="shared" si="7"/>
        <v>31045.277561406845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183463.28502415464</v>
      </c>
      <c r="E31" s="164">
        <f t="shared" si="4"/>
        <v>5822.2222222222226</v>
      </c>
      <c r="F31" s="163">
        <f t="shared" si="5"/>
        <v>177641.06280193242</v>
      </c>
      <c r="G31" s="165">
        <f t="shared" si="6"/>
        <v>30257.32472907917</v>
      </c>
      <c r="H31" s="147">
        <f t="shared" si="7"/>
        <v>30257.32472907917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177641.06280193242</v>
      </c>
      <c r="E32" s="164">
        <f t="shared" si="4"/>
        <v>5822.2222222222226</v>
      </c>
      <c r="F32" s="163">
        <f t="shared" si="5"/>
        <v>171818.8405797102</v>
      </c>
      <c r="G32" s="165">
        <f t="shared" si="6"/>
        <v>29469.371896751505</v>
      </c>
      <c r="H32" s="147">
        <f t="shared" si="7"/>
        <v>29469.371896751505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171818.8405797102</v>
      </c>
      <c r="E33" s="164">
        <f t="shared" si="4"/>
        <v>5822.2222222222226</v>
      </c>
      <c r="F33" s="163">
        <f t="shared" si="5"/>
        <v>165996.61835748798</v>
      </c>
      <c r="G33" s="165">
        <f t="shared" si="6"/>
        <v>28681.419064423833</v>
      </c>
      <c r="H33" s="147">
        <f t="shared" si="7"/>
        <v>28681.419064423833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165996.61835748798</v>
      </c>
      <c r="E34" s="164">
        <f t="shared" si="4"/>
        <v>5822.2222222222226</v>
      </c>
      <c r="F34" s="163">
        <f t="shared" si="5"/>
        <v>160174.39613526576</v>
      </c>
      <c r="G34" s="165">
        <f t="shared" si="6"/>
        <v>27893.466232096169</v>
      </c>
      <c r="H34" s="147">
        <f t="shared" si="7"/>
        <v>27893.466232096169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160174.39613526576</v>
      </c>
      <c r="E35" s="164">
        <f t="shared" si="4"/>
        <v>5822.2222222222226</v>
      </c>
      <c r="F35" s="163">
        <f t="shared" si="5"/>
        <v>154352.17391304355</v>
      </c>
      <c r="G35" s="165">
        <f t="shared" si="6"/>
        <v>27105.513399768497</v>
      </c>
      <c r="H35" s="147">
        <f t="shared" si="7"/>
        <v>27105.513399768497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154352.17391304355</v>
      </c>
      <c r="E36" s="164">
        <f t="shared" si="4"/>
        <v>5822.2222222222226</v>
      </c>
      <c r="F36" s="163">
        <f t="shared" si="5"/>
        <v>148529.95169082133</v>
      </c>
      <c r="G36" s="165">
        <f t="shared" si="6"/>
        <v>26317.560567440833</v>
      </c>
      <c r="H36" s="147">
        <f t="shared" si="7"/>
        <v>26317.560567440833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148529.95169082133</v>
      </c>
      <c r="E37" s="164">
        <f t="shared" si="4"/>
        <v>5822.2222222222226</v>
      </c>
      <c r="F37" s="163">
        <f t="shared" si="5"/>
        <v>142707.72946859911</v>
      </c>
      <c r="G37" s="165">
        <f t="shared" si="6"/>
        <v>25529.607735113161</v>
      </c>
      <c r="H37" s="147">
        <f t="shared" si="7"/>
        <v>25529.607735113161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142707.72946859911</v>
      </c>
      <c r="E38" s="164">
        <f t="shared" si="4"/>
        <v>5822.2222222222226</v>
      </c>
      <c r="F38" s="163">
        <f t="shared" si="5"/>
        <v>136885.50724637689</v>
      </c>
      <c r="G38" s="165">
        <f t="shared" si="6"/>
        <v>24741.654902785496</v>
      </c>
      <c r="H38" s="147">
        <f t="shared" si="7"/>
        <v>24741.654902785496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136885.50724637689</v>
      </c>
      <c r="E39" s="164">
        <f t="shared" si="4"/>
        <v>5822.2222222222226</v>
      </c>
      <c r="F39" s="163">
        <f t="shared" si="5"/>
        <v>131063.28502415467</v>
      </c>
      <c r="G39" s="165">
        <f t="shared" si="6"/>
        <v>23953.702070457824</v>
      </c>
      <c r="H39" s="147">
        <f t="shared" si="7"/>
        <v>23953.702070457824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131063.28502415467</v>
      </c>
      <c r="E40" s="164">
        <f t="shared" si="4"/>
        <v>5822.2222222222226</v>
      </c>
      <c r="F40" s="163">
        <f t="shared" si="5"/>
        <v>125241.06280193245</v>
      </c>
      <c r="G40" s="165">
        <f t="shared" si="6"/>
        <v>23165.74923813016</v>
      </c>
      <c r="H40" s="147">
        <f t="shared" si="7"/>
        <v>23165.74923813016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125241.06280193245</v>
      </c>
      <c r="E41" s="164">
        <f t="shared" si="4"/>
        <v>5822.2222222222226</v>
      </c>
      <c r="F41" s="163">
        <f t="shared" si="5"/>
        <v>119418.84057971023</v>
      </c>
      <c r="G41" s="165">
        <f t="shared" si="6"/>
        <v>22377.796405802492</v>
      </c>
      <c r="H41" s="147">
        <f t="shared" si="7"/>
        <v>22377.796405802492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119418.84057971023</v>
      </c>
      <c r="E42" s="164">
        <f t="shared" si="4"/>
        <v>5822.2222222222226</v>
      </c>
      <c r="F42" s="163">
        <f t="shared" si="5"/>
        <v>113596.61835748801</v>
      </c>
      <c r="G42" s="165">
        <f t="shared" si="6"/>
        <v>21589.84357347482</v>
      </c>
      <c r="H42" s="147">
        <f t="shared" si="7"/>
        <v>21589.84357347482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113596.61835748801</v>
      </c>
      <c r="E43" s="164">
        <f t="shared" si="4"/>
        <v>5822.2222222222226</v>
      </c>
      <c r="F43" s="163">
        <f t="shared" si="5"/>
        <v>107774.39613526579</v>
      </c>
      <c r="G43" s="165">
        <f t="shared" si="6"/>
        <v>20801.890741147152</v>
      </c>
      <c r="H43" s="147">
        <f t="shared" si="7"/>
        <v>20801.890741147152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107774.39613526579</v>
      </c>
      <c r="E44" s="164">
        <f t="shared" si="4"/>
        <v>5822.2222222222226</v>
      </c>
      <c r="F44" s="163">
        <f t="shared" si="5"/>
        <v>101952.17391304357</v>
      </c>
      <c r="G44" s="165">
        <f t="shared" si="6"/>
        <v>20013.937908819484</v>
      </c>
      <c r="H44" s="147">
        <f t="shared" si="7"/>
        <v>20013.937908819484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101952.17391304357</v>
      </c>
      <c r="E45" s="164">
        <f t="shared" si="4"/>
        <v>5822.2222222222226</v>
      </c>
      <c r="F45" s="163">
        <f t="shared" si="5"/>
        <v>96129.951690821355</v>
      </c>
      <c r="G45" s="165">
        <f t="shared" si="6"/>
        <v>19225.985076491816</v>
      </c>
      <c r="H45" s="147">
        <f t="shared" si="7"/>
        <v>19225.985076491816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96129.951690821355</v>
      </c>
      <c r="E46" s="164">
        <f t="shared" si="4"/>
        <v>5822.2222222222226</v>
      </c>
      <c r="F46" s="163">
        <f t="shared" si="5"/>
        <v>90307.729468599136</v>
      </c>
      <c r="G46" s="165">
        <f t="shared" si="6"/>
        <v>18438.032244164147</v>
      </c>
      <c r="H46" s="147">
        <f t="shared" si="7"/>
        <v>18438.032244164147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90307.729468599136</v>
      </c>
      <c r="E47" s="164">
        <f t="shared" si="4"/>
        <v>5822.2222222222226</v>
      </c>
      <c r="F47" s="163">
        <f t="shared" si="5"/>
        <v>84485.507246376917</v>
      </c>
      <c r="G47" s="165">
        <f t="shared" si="6"/>
        <v>17650.079411836479</v>
      </c>
      <c r="H47" s="147">
        <f t="shared" si="7"/>
        <v>17650.079411836479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84485.507246376917</v>
      </c>
      <c r="E48" s="164">
        <f t="shared" si="4"/>
        <v>5822.2222222222226</v>
      </c>
      <c r="F48" s="163">
        <f t="shared" si="5"/>
        <v>78663.285024154698</v>
      </c>
      <c r="G48" s="165">
        <f t="shared" si="6"/>
        <v>16862.126579508811</v>
      </c>
      <c r="H48" s="147">
        <f t="shared" si="7"/>
        <v>16862.126579508811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78663.285024154698</v>
      </c>
      <c r="E49" s="164">
        <f t="shared" si="4"/>
        <v>5822.2222222222226</v>
      </c>
      <c r="F49" s="163">
        <f t="shared" si="5"/>
        <v>72841.062801932479</v>
      </c>
      <c r="G49" s="165">
        <f t="shared" si="6"/>
        <v>16074.173747181145</v>
      </c>
      <c r="H49" s="147">
        <f t="shared" si="7"/>
        <v>16074.173747181145</v>
      </c>
      <c r="I49" s="160">
        <f t="shared" si="0"/>
        <v>0</v>
      </c>
      <c r="J49" s="160"/>
      <c r="K49" s="330"/>
      <c r="L49" s="162">
        <f t="shared" si="1"/>
        <v>0</v>
      </c>
      <c r="M49" s="330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72841.062801932479</v>
      </c>
      <c r="E50" s="164">
        <f t="shared" si="4"/>
        <v>5822.2222222222226</v>
      </c>
      <c r="F50" s="163">
        <f t="shared" si="5"/>
        <v>67018.84057971026</v>
      </c>
      <c r="G50" s="165">
        <f t="shared" si="6"/>
        <v>15286.220914853477</v>
      </c>
      <c r="H50" s="147">
        <f t="shared" si="7"/>
        <v>15286.220914853477</v>
      </c>
      <c r="I50" s="160">
        <f t="shared" si="0"/>
        <v>0</v>
      </c>
      <c r="J50" s="160"/>
      <c r="K50" s="330"/>
      <c r="L50" s="162">
        <f t="shared" si="1"/>
        <v>0</v>
      </c>
      <c r="M50" s="330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67018.84057971026</v>
      </c>
      <c r="E51" s="164">
        <f t="shared" si="4"/>
        <v>5822.2222222222226</v>
      </c>
      <c r="F51" s="163">
        <f t="shared" si="5"/>
        <v>61196.618357488042</v>
      </c>
      <c r="G51" s="165">
        <f t="shared" si="6"/>
        <v>14498.268082525808</v>
      </c>
      <c r="H51" s="147">
        <f t="shared" si="7"/>
        <v>14498.268082525808</v>
      </c>
      <c r="I51" s="160">
        <f t="shared" si="0"/>
        <v>0</v>
      </c>
      <c r="J51" s="160"/>
      <c r="K51" s="330"/>
      <c r="L51" s="162">
        <f t="shared" si="1"/>
        <v>0</v>
      </c>
      <c r="M51" s="330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61196.618357488042</v>
      </c>
      <c r="E52" s="164">
        <f t="shared" si="4"/>
        <v>5822.2222222222226</v>
      </c>
      <c r="F52" s="163">
        <f t="shared" si="5"/>
        <v>55374.396135265823</v>
      </c>
      <c r="G52" s="165">
        <f t="shared" si="6"/>
        <v>13710.315250198139</v>
      </c>
      <c r="H52" s="147">
        <f t="shared" si="7"/>
        <v>13710.315250198139</v>
      </c>
      <c r="I52" s="160">
        <f t="shared" si="0"/>
        <v>0</v>
      </c>
      <c r="J52" s="160"/>
      <c r="K52" s="330"/>
      <c r="L52" s="162">
        <f t="shared" si="1"/>
        <v>0</v>
      </c>
      <c r="M52" s="330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55374.396135265823</v>
      </c>
      <c r="E53" s="164">
        <f t="shared" si="4"/>
        <v>5822.2222222222226</v>
      </c>
      <c r="F53" s="163">
        <f t="shared" si="5"/>
        <v>49552.173913043604</v>
      </c>
      <c r="G53" s="165">
        <f t="shared" si="6"/>
        <v>12922.36241787047</v>
      </c>
      <c r="H53" s="147">
        <f t="shared" si="7"/>
        <v>12922.36241787047</v>
      </c>
      <c r="I53" s="160">
        <f t="shared" si="0"/>
        <v>0</v>
      </c>
      <c r="J53" s="160"/>
      <c r="K53" s="330"/>
      <c r="L53" s="162">
        <f t="shared" si="1"/>
        <v>0</v>
      </c>
      <c r="M53" s="330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49552.173913043604</v>
      </c>
      <c r="E54" s="164">
        <f t="shared" si="4"/>
        <v>5822.2222222222226</v>
      </c>
      <c r="F54" s="163">
        <f t="shared" si="5"/>
        <v>43729.951690821385</v>
      </c>
      <c r="G54" s="165">
        <f t="shared" si="6"/>
        <v>12134.409585542802</v>
      </c>
      <c r="H54" s="147">
        <f t="shared" si="7"/>
        <v>12134.409585542802</v>
      </c>
      <c r="I54" s="160">
        <f t="shared" si="0"/>
        <v>0</v>
      </c>
      <c r="J54" s="160"/>
      <c r="K54" s="330"/>
      <c r="L54" s="162">
        <f t="shared" si="1"/>
        <v>0</v>
      </c>
      <c r="M54" s="330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43729.951690821385</v>
      </c>
      <c r="E55" s="164">
        <f t="shared" si="4"/>
        <v>5822.2222222222226</v>
      </c>
      <c r="F55" s="163">
        <f t="shared" si="5"/>
        <v>37907.729468599166</v>
      </c>
      <c r="G55" s="165">
        <f t="shared" si="6"/>
        <v>11346.456753215134</v>
      </c>
      <c r="H55" s="147">
        <f t="shared" si="7"/>
        <v>11346.456753215134</v>
      </c>
      <c r="I55" s="160">
        <f t="shared" si="0"/>
        <v>0</v>
      </c>
      <c r="J55" s="160"/>
      <c r="K55" s="330"/>
      <c r="L55" s="162">
        <f t="shared" si="1"/>
        <v>0</v>
      </c>
      <c r="M55" s="330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37907.729468599166</v>
      </c>
      <c r="E56" s="164">
        <f t="shared" si="4"/>
        <v>5822.2222222222226</v>
      </c>
      <c r="F56" s="163">
        <f t="shared" si="5"/>
        <v>32085.507246376943</v>
      </c>
      <c r="G56" s="165">
        <f t="shared" si="6"/>
        <v>10558.503920887466</v>
      </c>
      <c r="H56" s="147">
        <f t="shared" si="7"/>
        <v>10558.503920887466</v>
      </c>
      <c r="I56" s="160">
        <f t="shared" si="0"/>
        <v>0</v>
      </c>
      <c r="J56" s="160"/>
      <c r="K56" s="330"/>
      <c r="L56" s="162">
        <f t="shared" si="1"/>
        <v>0</v>
      </c>
      <c r="M56" s="330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32085.507246376943</v>
      </c>
      <c r="E57" s="164">
        <f t="shared" si="4"/>
        <v>5822.2222222222226</v>
      </c>
      <c r="F57" s="163">
        <f t="shared" si="5"/>
        <v>26263.28502415472</v>
      </c>
      <c r="G57" s="165">
        <f t="shared" si="6"/>
        <v>9770.5510885597978</v>
      </c>
      <c r="H57" s="147">
        <f t="shared" si="7"/>
        <v>9770.5510885597978</v>
      </c>
      <c r="I57" s="160">
        <f t="shared" si="0"/>
        <v>0</v>
      </c>
      <c r="J57" s="160"/>
      <c r="K57" s="330"/>
      <c r="L57" s="162">
        <f t="shared" si="1"/>
        <v>0</v>
      </c>
      <c r="M57" s="330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26263.28502415472</v>
      </c>
      <c r="E58" s="164">
        <f t="shared" si="4"/>
        <v>5822.2222222222226</v>
      </c>
      <c r="F58" s="163">
        <f t="shared" si="5"/>
        <v>20441.062801932498</v>
      </c>
      <c r="G58" s="165">
        <f t="shared" si="6"/>
        <v>8982.5982562321296</v>
      </c>
      <c r="H58" s="147">
        <f t="shared" si="7"/>
        <v>8982.5982562321296</v>
      </c>
      <c r="I58" s="160">
        <f t="shared" si="0"/>
        <v>0</v>
      </c>
      <c r="J58" s="160"/>
      <c r="K58" s="330"/>
      <c r="L58" s="162">
        <f t="shared" si="1"/>
        <v>0</v>
      </c>
      <c r="M58" s="330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20441.062801932498</v>
      </c>
      <c r="E59" s="164">
        <f t="shared" si="4"/>
        <v>5822.2222222222226</v>
      </c>
      <c r="F59" s="163">
        <f t="shared" si="5"/>
        <v>14618.840579710275</v>
      </c>
      <c r="G59" s="165">
        <f t="shared" si="6"/>
        <v>8194.6454239044597</v>
      </c>
      <c r="H59" s="147">
        <f t="shared" si="7"/>
        <v>8194.6454239044597</v>
      </c>
      <c r="I59" s="160">
        <f t="shared" si="0"/>
        <v>0</v>
      </c>
      <c r="J59" s="160"/>
      <c r="K59" s="330"/>
      <c r="L59" s="162">
        <f t="shared" si="1"/>
        <v>0</v>
      </c>
      <c r="M59" s="330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14618.840579710275</v>
      </c>
      <c r="E60" s="164">
        <f t="shared" si="4"/>
        <v>5822.2222222222226</v>
      </c>
      <c r="F60" s="163">
        <f t="shared" si="5"/>
        <v>8796.6183574880524</v>
      </c>
      <c r="G60" s="165">
        <f t="shared" si="6"/>
        <v>7406.6925915767915</v>
      </c>
      <c r="H60" s="147">
        <f t="shared" si="7"/>
        <v>7406.6925915767915</v>
      </c>
      <c r="I60" s="160">
        <f t="shared" si="0"/>
        <v>0</v>
      </c>
      <c r="J60" s="160"/>
      <c r="K60" s="330"/>
      <c r="L60" s="162">
        <f t="shared" si="1"/>
        <v>0</v>
      </c>
      <c r="M60" s="330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8796.6183574880524</v>
      </c>
      <c r="E61" s="164">
        <f t="shared" si="4"/>
        <v>5822.2222222222226</v>
      </c>
      <c r="F61" s="163">
        <f t="shared" si="5"/>
        <v>2974.3961352658298</v>
      </c>
      <c r="G61" s="165">
        <f t="shared" si="6"/>
        <v>6618.7397592491225</v>
      </c>
      <c r="H61" s="147">
        <f t="shared" si="7"/>
        <v>6618.7397592491225</v>
      </c>
      <c r="I61" s="160">
        <f t="shared" si="0"/>
        <v>0</v>
      </c>
      <c r="J61" s="160"/>
      <c r="K61" s="330"/>
      <c r="L61" s="162">
        <f t="shared" si="1"/>
        <v>0</v>
      </c>
      <c r="M61" s="330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2974.3961352658298</v>
      </c>
      <c r="E62" s="164">
        <f t="shared" si="4"/>
        <v>2974.3961352658298</v>
      </c>
      <c r="F62" s="163">
        <f t="shared" si="5"/>
        <v>0</v>
      </c>
      <c r="G62" s="165">
        <f t="shared" si="6"/>
        <v>3175.6666956973627</v>
      </c>
      <c r="H62" s="147">
        <f t="shared" si="7"/>
        <v>3175.6666956973627</v>
      </c>
      <c r="I62" s="160">
        <f t="shared" si="0"/>
        <v>0</v>
      </c>
      <c r="J62" s="160"/>
      <c r="K62" s="330"/>
      <c r="L62" s="162">
        <f t="shared" si="1"/>
        <v>0</v>
      </c>
      <c r="M62" s="330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0"/>
      <c r="L63" s="162">
        <f t="shared" si="1"/>
        <v>0</v>
      </c>
      <c r="M63" s="330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0"/>
      <c r="L64" s="162">
        <f t="shared" si="1"/>
        <v>0</v>
      </c>
      <c r="M64" s="330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0"/>
      <c r="L65" s="162">
        <f t="shared" si="1"/>
        <v>0</v>
      </c>
      <c r="M65" s="330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0"/>
      <c r="L66" s="162">
        <f t="shared" si="1"/>
        <v>0</v>
      </c>
      <c r="M66" s="330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0"/>
      <c r="L67" s="162">
        <f t="shared" si="1"/>
        <v>0</v>
      </c>
      <c r="M67" s="330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0"/>
      <c r="L68" s="162">
        <f t="shared" si="1"/>
        <v>0</v>
      </c>
      <c r="M68" s="330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0"/>
      <c r="L69" s="162">
        <f t="shared" si="1"/>
        <v>0</v>
      </c>
      <c r="M69" s="330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0"/>
      <c r="L70" s="162">
        <f t="shared" si="1"/>
        <v>0</v>
      </c>
      <c r="M70" s="330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0"/>
      <c r="L71" s="162">
        <f t="shared" si="1"/>
        <v>0</v>
      </c>
      <c r="M71" s="330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36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2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1"/>
      <c r="L72" s="173">
        <f t="shared" si="1"/>
        <v>0</v>
      </c>
      <c r="M72" s="331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77</v>
      </c>
      <c r="D73" s="115"/>
      <c r="E73" s="115">
        <f>SUM(E17:E72)</f>
        <v>262000</v>
      </c>
      <c r="F73" s="115"/>
      <c r="G73" s="115">
        <f>SUM(G17:G72)</f>
        <v>1059141.359232282</v>
      </c>
      <c r="H73" s="115">
        <f>SUM(H17:H72)</f>
        <v>1059141.359232282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21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40500.711549338856</v>
      </c>
      <c r="N87" s="202">
        <f>IF(J92&lt;D11,0,VLOOKUP(J92,C17:O72,11))</f>
        <v>40500.711549338856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40916.73033605556</v>
      </c>
      <c r="N88" s="204">
        <f>IF(J92&lt;D11,0,VLOOKUP(J92,C99:P154,7))</f>
        <v>40916.73033605556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Darlington-Roman Nose 138 kV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416.0187867167042</v>
      </c>
      <c r="N89" s="207">
        <f>+N88-N87</f>
        <v>416.0187867167042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TP2015027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v>330824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2017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7694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2017</v>
      </c>
      <c r="D99" s="413">
        <v>0</v>
      </c>
      <c r="E99" s="418">
        <v>3596</v>
      </c>
      <c r="F99" s="413">
        <v>327228</v>
      </c>
      <c r="G99" s="418">
        <v>163614</v>
      </c>
      <c r="H99" s="416">
        <v>24350.848452847567</v>
      </c>
      <c r="I99" s="427">
        <v>24350.848452847567</v>
      </c>
      <c r="J99" s="162">
        <f t="shared" ref="J99:J130" si="9">+I99-H99</f>
        <v>0</v>
      </c>
      <c r="K99" s="162"/>
      <c r="L99" s="161">
        <f>+H99</f>
        <v>24350.848452847567</v>
      </c>
      <c r="M99" s="161">
        <f t="shared" ref="M99:M130" si="10">IF(L99&lt;&gt;0,+H99-L99,0)</f>
        <v>0</v>
      </c>
      <c r="N99" s="161">
        <f>+I99</f>
        <v>24350.848452847567</v>
      </c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327228</v>
      </c>
      <c r="E100" s="164">
        <f>IF(+J$96&lt;F99,J$96,D100)</f>
        <v>7694</v>
      </c>
      <c r="F100" s="163">
        <f>+D100-E100</f>
        <v>319534</v>
      </c>
      <c r="G100" s="163">
        <f>+(F100+D100)/2</f>
        <v>323381</v>
      </c>
      <c r="H100" s="328">
        <f t="shared" ref="H100:H154" si="13">+J$94*G100+E100</f>
        <v>40916.73033605556</v>
      </c>
      <c r="I100" s="339">
        <f t="shared" ref="I100:I154" si="14">+J$95*G100+E100</f>
        <v>40916.73033605556</v>
      </c>
      <c r="J100" s="162">
        <f t="shared" si="9"/>
        <v>0</v>
      </c>
      <c r="K100" s="162"/>
      <c r="L100" s="330"/>
      <c r="M100" s="162">
        <f t="shared" si="10"/>
        <v>0</v>
      </c>
      <c r="N100" s="330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319534</v>
      </c>
      <c r="E101" s="164">
        <f t="shared" ref="E101:E154" si="16">IF(+J$96&lt;F100,J$96,D101)</f>
        <v>7694</v>
      </c>
      <c r="F101" s="163">
        <f t="shared" ref="F101:F154" si="17">+D101-E101</f>
        <v>311840</v>
      </c>
      <c r="G101" s="163">
        <f t="shared" ref="G101:G154" si="18">+(F101+D101)/2</f>
        <v>315687</v>
      </c>
      <c r="H101" s="328">
        <f t="shared" si="13"/>
        <v>40126.282884889253</v>
      </c>
      <c r="I101" s="339">
        <f t="shared" si="14"/>
        <v>40126.282884889253</v>
      </c>
      <c r="J101" s="162">
        <f t="shared" si="9"/>
        <v>0</v>
      </c>
      <c r="K101" s="162"/>
      <c r="L101" s="330"/>
      <c r="M101" s="162">
        <f t="shared" si="10"/>
        <v>0</v>
      </c>
      <c r="N101" s="330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311840</v>
      </c>
      <c r="E102" s="164">
        <f t="shared" si="16"/>
        <v>7694</v>
      </c>
      <c r="F102" s="163">
        <f t="shared" si="17"/>
        <v>304146</v>
      </c>
      <c r="G102" s="163">
        <f t="shared" si="18"/>
        <v>307993</v>
      </c>
      <c r="H102" s="328">
        <f t="shared" si="13"/>
        <v>39335.835433722954</v>
      </c>
      <c r="I102" s="339">
        <f t="shared" si="14"/>
        <v>39335.835433722954</v>
      </c>
      <c r="J102" s="162">
        <f t="shared" si="9"/>
        <v>0</v>
      </c>
      <c r="K102" s="162"/>
      <c r="L102" s="330"/>
      <c r="M102" s="162">
        <f t="shared" si="10"/>
        <v>0</v>
      </c>
      <c r="N102" s="330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304146</v>
      </c>
      <c r="E103" s="164">
        <f t="shared" si="16"/>
        <v>7694</v>
      </c>
      <c r="F103" s="163">
        <f t="shared" si="17"/>
        <v>296452</v>
      </c>
      <c r="G103" s="163">
        <f t="shared" si="18"/>
        <v>300299</v>
      </c>
      <c r="H103" s="328">
        <f t="shared" si="13"/>
        <v>38545.38798255664</v>
      </c>
      <c r="I103" s="339">
        <f t="shared" si="14"/>
        <v>38545.38798255664</v>
      </c>
      <c r="J103" s="162">
        <f t="shared" si="9"/>
        <v>0</v>
      </c>
      <c r="K103" s="162"/>
      <c r="L103" s="330"/>
      <c r="M103" s="162">
        <f t="shared" si="10"/>
        <v>0</v>
      </c>
      <c r="N103" s="330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296452</v>
      </c>
      <c r="E104" s="164">
        <f t="shared" si="16"/>
        <v>7694</v>
      </c>
      <c r="F104" s="163">
        <f t="shared" si="17"/>
        <v>288758</v>
      </c>
      <c r="G104" s="163">
        <f t="shared" si="18"/>
        <v>292605</v>
      </c>
      <c r="H104" s="328">
        <f t="shared" si="13"/>
        <v>37754.940531390333</v>
      </c>
      <c r="I104" s="339">
        <f t="shared" si="14"/>
        <v>37754.940531390333</v>
      </c>
      <c r="J104" s="162">
        <f t="shared" si="9"/>
        <v>0</v>
      </c>
      <c r="K104" s="162"/>
      <c r="L104" s="330"/>
      <c r="M104" s="162">
        <f t="shared" si="10"/>
        <v>0</v>
      </c>
      <c r="N104" s="330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288758</v>
      </c>
      <c r="E105" s="164">
        <f t="shared" si="16"/>
        <v>7694</v>
      </c>
      <c r="F105" s="163">
        <f t="shared" si="17"/>
        <v>281064</v>
      </c>
      <c r="G105" s="163">
        <f t="shared" si="18"/>
        <v>284911</v>
      </c>
      <c r="H105" s="328">
        <f t="shared" si="13"/>
        <v>36964.493080224027</v>
      </c>
      <c r="I105" s="339">
        <f t="shared" si="14"/>
        <v>36964.493080224027</v>
      </c>
      <c r="J105" s="162">
        <f t="shared" si="9"/>
        <v>0</v>
      </c>
      <c r="K105" s="162"/>
      <c r="L105" s="330"/>
      <c r="M105" s="162">
        <f t="shared" si="10"/>
        <v>0</v>
      </c>
      <c r="N105" s="330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281064</v>
      </c>
      <c r="E106" s="164">
        <f t="shared" si="16"/>
        <v>7694</v>
      </c>
      <c r="F106" s="163">
        <f t="shared" si="17"/>
        <v>273370</v>
      </c>
      <c r="G106" s="163">
        <f t="shared" si="18"/>
        <v>277217</v>
      </c>
      <c r="H106" s="328">
        <f t="shared" si="13"/>
        <v>36174.04562905772</v>
      </c>
      <c r="I106" s="339">
        <f t="shared" si="14"/>
        <v>36174.04562905772</v>
      </c>
      <c r="J106" s="162">
        <f t="shared" si="9"/>
        <v>0</v>
      </c>
      <c r="K106" s="162"/>
      <c r="L106" s="330"/>
      <c r="M106" s="162">
        <f t="shared" si="10"/>
        <v>0</v>
      </c>
      <c r="N106" s="330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273370</v>
      </c>
      <c r="E107" s="164">
        <f t="shared" si="16"/>
        <v>7694</v>
      </c>
      <c r="F107" s="163">
        <f t="shared" si="17"/>
        <v>265676</v>
      </c>
      <c r="G107" s="163">
        <f t="shared" si="18"/>
        <v>269523</v>
      </c>
      <c r="H107" s="328">
        <f t="shared" si="13"/>
        <v>35383.598177891414</v>
      </c>
      <c r="I107" s="339">
        <f t="shared" si="14"/>
        <v>35383.598177891414</v>
      </c>
      <c r="J107" s="162">
        <f t="shared" si="9"/>
        <v>0</v>
      </c>
      <c r="K107" s="162"/>
      <c r="L107" s="330"/>
      <c r="M107" s="162">
        <f t="shared" si="10"/>
        <v>0</v>
      </c>
      <c r="N107" s="330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265676</v>
      </c>
      <c r="E108" s="164">
        <f t="shared" si="16"/>
        <v>7694</v>
      </c>
      <c r="F108" s="163">
        <f t="shared" si="17"/>
        <v>257982</v>
      </c>
      <c r="G108" s="163">
        <f t="shared" si="18"/>
        <v>261829</v>
      </c>
      <c r="H108" s="328">
        <f t="shared" si="13"/>
        <v>34593.150726725107</v>
      </c>
      <c r="I108" s="339">
        <f t="shared" si="14"/>
        <v>34593.150726725107</v>
      </c>
      <c r="J108" s="162">
        <f t="shared" si="9"/>
        <v>0</v>
      </c>
      <c r="K108" s="162"/>
      <c r="L108" s="330"/>
      <c r="M108" s="162">
        <f t="shared" si="10"/>
        <v>0</v>
      </c>
      <c r="N108" s="330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257982</v>
      </c>
      <c r="E109" s="164">
        <f t="shared" si="16"/>
        <v>7694</v>
      </c>
      <c r="F109" s="163">
        <f t="shared" si="17"/>
        <v>250288</v>
      </c>
      <c r="G109" s="163">
        <f t="shared" si="18"/>
        <v>254135</v>
      </c>
      <c r="H109" s="328">
        <f t="shared" si="13"/>
        <v>33802.703275558801</v>
      </c>
      <c r="I109" s="339">
        <f t="shared" si="14"/>
        <v>33802.703275558801</v>
      </c>
      <c r="J109" s="162">
        <f t="shared" si="9"/>
        <v>0</v>
      </c>
      <c r="K109" s="162"/>
      <c r="L109" s="330"/>
      <c r="M109" s="162">
        <f t="shared" si="10"/>
        <v>0</v>
      </c>
      <c r="N109" s="330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250288</v>
      </c>
      <c r="E110" s="164">
        <f t="shared" si="16"/>
        <v>7694</v>
      </c>
      <c r="F110" s="163">
        <f t="shared" si="17"/>
        <v>242594</v>
      </c>
      <c r="G110" s="163">
        <f t="shared" si="18"/>
        <v>246441</v>
      </c>
      <c r="H110" s="328">
        <f t="shared" si="13"/>
        <v>33012.255824392494</v>
      </c>
      <c r="I110" s="339">
        <f t="shared" si="14"/>
        <v>33012.255824392494</v>
      </c>
      <c r="J110" s="162">
        <f t="shared" si="9"/>
        <v>0</v>
      </c>
      <c r="K110" s="162"/>
      <c r="L110" s="330"/>
      <c r="M110" s="162">
        <f t="shared" si="10"/>
        <v>0</v>
      </c>
      <c r="N110" s="330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242594</v>
      </c>
      <c r="E111" s="164">
        <f t="shared" si="16"/>
        <v>7694</v>
      </c>
      <c r="F111" s="163">
        <f t="shared" si="17"/>
        <v>234900</v>
      </c>
      <c r="G111" s="163">
        <f t="shared" si="18"/>
        <v>238747</v>
      </c>
      <c r="H111" s="328">
        <f t="shared" si="13"/>
        <v>32221.808373226188</v>
      </c>
      <c r="I111" s="339">
        <f t="shared" si="14"/>
        <v>32221.808373226188</v>
      </c>
      <c r="J111" s="162">
        <f t="shared" si="9"/>
        <v>0</v>
      </c>
      <c r="K111" s="162"/>
      <c r="L111" s="330"/>
      <c r="M111" s="162">
        <f t="shared" si="10"/>
        <v>0</v>
      </c>
      <c r="N111" s="330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234900</v>
      </c>
      <c r="E112" s="164">
        <f t="shared" si="16"/>
        <v>7694</v>
      </c>
      <c r="F112" s="163">
        <f t="shared" si="17"/>
        <v>227206</v>
      </c>
      <c r="G112" s="163">
        <f t="shared" si="18"/>
        <v>231053</v>
      </c>
      <c r="H112" s="328">
        <f t="shared" si="13"/>
        <v>31431.360922059881</v>
      </c>
      <c r="I112" s="339">
        <f t="shared" si="14"/>
        <v>31431.360922059881</v>
      </c>
      <c r="J112" s="162">
        <f t="shared" si="9"/>
        <v>0</v>
      </c>
      <c r="K112" s="162"/>
      <c r="L112" s="330"/>
      <c r="M112" s="162">
        <f t="shared" si="10"/>
        <v>0</v>
      </c>
      <c r="N112" s="330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227206</v>
      </c>
      <c r="E113" s="164">
        <f t="shared" si="16"/>
        <v>7694</v>
      </c>
      <c r="F113" s="163">
        <f t="shared" si="17"/>
        <v>219512</v>
      </c>
      <c r="G113" s="163">
        <f t="shared" si="18"/>
        <v>223359</v>
      </c>
      <c r="H113" s="328">
        <f t="shared" si="13"/>
        <v>30640.913470893574</v>
      </c>
      <c r="I113" s="339">
        <f t="shared" si="14"/>
        <v>30640.913470893574</v>
      </c>
      <c r="J113" s="162">
        <f t="shared" si="9"/>
        <v>0</v>
      </c>
      <c r="K113" s="162"/>
      <c r="L113" s="330"/>
      <c r="M113" s="162">
        <f t="shared" si="10"/>
        <v>0</v>
      </c>
      <c r="N113" s="330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219512</v>
      </c>
      <c r="E114" s="164">
        <f t="shared" si="16"/>
        <v>7694</v>
      </c>
      <c r="F114" s="163">
        <f t="shared" si="17"/>
        <v>211818</v>
      </c>
      <c r="G114" s="163">
        <f t="shared" si="18"/>
        <v>215665</v>
      </c>
      <c r="H114" s="328">
        <f t="shared" si="13"/>
        <v>29850.466019727264</v>
      </c>
      <c r="I114" s="339">
        <f t="shared" si="14"/>
        <v>29850.466019727264</v>
      </c>
      <c r="J114" s="162">
        <f t="shared" si="9"/>
        <v>0</v>
      </c>
      <c r="K114" s="162"/>
      <c r="L114" s="330"/>
      <c r="M114" s="162">
        <f t="shared" si="10"/>
        <v>0</v>
      </c>
      <c r="N114" s="330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211818</v>
      </c>
      <c r="E115" s="164">
        <f t="shared" si="16"/>
        <v>7694</v>
      </c>
      <c r="F115" s="163">
        <f t="shared" si="17"/>
        <v>204124</v>
      </c>
      <c r="G115" s="163">
        <f t="shared" si="18"/>
        <v>207971</v>
      </c>
      <c r="H115" s="328">
        <f t="shared" si="13"/>
        <v>29060.018568560958</v>
      </c>
      <c r="I115" s="339">
        <f t="shared" si="14"/>
        <v>29060.018568560958</v>
      </c>
      <c r="J115" s="162">
        <f t="shared" si="9"/>
        <v>0</v>
      </c>
      <c r="K115" s="162"/>
      <c r="L115" s="330"/>
      <c r="M115" s="162">
        <f t="shared" si="10"/>
        <v>0</v>
      </c>
      <c r="N115" s="330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204124</v>
      </c>
      <c r="E116" s="164">
        <f t="shared" si="16"/>
        <v>7694</v>
      </c>
      <c r="F116" s="163">
        <f t="shared" si="17"/>
        <v>196430</v>
      </c>
      <c r="G116" s="163">
        <f t="shared" si="18"/>
        <v>200277</v>
      </c>
      <c r="H116" s="328">
        <f t="shared" si="13"/>
        <v>28269.571117394651</v>
      </c>
      <c r="I116" s="339">
        <f t="shared" si="14"/>
        <v>28269.571117394651</v>
      </c>
      <c r="J116" s="162">
        <f t="shared" si="9"/>
        <v>0</v>
      </c>
      <c r="K116" s="162"/>
      <c r="L116" s="330"/>
      <c r="M116" s="162">
        <f t="shared" si="10"/>
        <v>0</v>
      </c>
      <c r="N116" s="330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196430</v>
      </c>
      <c r="E117" s="164">
        <f t="shared" si="16"/>
        <v>7694</v>
      </c>
      <c r="F117" s="163">
        <f t="shared" si="17"/>
        <v>188736</v>
      </c>
      <c r="G117" s="163">
        <f t="shared" si="18"/>
        <v>192583</v>
      </c>
      <c r="H117" s="328">
        <f t="shared" si="13"/>
        <v>27479.123666228345</v>
      </c>
      <c r="I117" s="339">
        <f t="shared" si="14"/>
        <v>27479.123666228345</v>
      </c>
      <c r="J117" s="162">
        <f t="shared" si="9"/>
        <v>0</v>
      </c>
      <c r="K117" s="162"/>
      <c r="L117" s="330"/>
      <c r="M117" s="162">
        <f t="shared" si="10"/>
        <v>0</v>
      </c>
      <c r="N117" s="330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188736</v>
      </c>
      <c r="E118" s="164">
        <f t="shared" si="16"/>
        <v>7694</v>
      </c>
      <c r="F118" s="163">
        <f t="shared" si="17"/>
        <v>181042</v>
      </c>
      <c r="G118" s="163">
        <f t="shared" si="18"/>
        <v>184889</v>
      </c>
      <c r="H118" s="328">
        <f t="shared" si="13"/>
        <v>26688.676215062038</v>
      </c>
      <c r="I118" s="339">
        <f t="shared" si="14"/>
        <v>26688.676215062038</v>
      </c>
      <c r="J118" s="162">
        <f t="shared" si="9"/>
        <v>0</v>
      </c>
      <c r="K118" s="162"/>
      <c r="L118" s="330"/>
      <c r="M118" s="162">
        <f t="shared" si="10"/>
        <v>0</v>
      </c>
      <c r="N118" s="330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181042</v>
      </c>
      <c r="E119" s="164">
        <f t="shared" si="16"/>
        <v>7694</v>
      </c>
      <c r="F119" s="163">
        <f t="shared" si="17"/>
        <v>173348</v>
      </c>
      <c r="G119" s="163">
        <f t="shared" si="18"/>
        <v>177195</v>
      </c>
      <c r="H119" s="328">
        <f t="shared" si="13"/>
        <v>25898.228763895731</v>
      </c>
      <c r="I119" s="339">
        <f t="shared" si="14"/>
        <v>25898.228763895731</v>
      </c>
      <c r="J119" s="162">
        <f t="shared" si="9"/>
        <v>0</v>
      </c>
      <c r="K119" s="162"/>
      <c r="L119" s="330"/>
      <c r="M119" s="162">
        <f t="shared" si="10"/>
        <v>0</v>
      </c>
      <c r="N119" s="330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173348</v>
      </c>
      <c r="E120" s="164">
        <f t="shared" si="16"/>
        <v>7694</v>
      </c>
      <c r="F120" s="163">
        <f t="shared" si="17"/>
        <v>165654</v>
      </c>
      <c r="G120" s="163">
        <f t="shared" si="18"/>
        <v>169501</v>
      </c>
      <c r="H120" s="328">
        <f t="shared" si="13"/>
        <v>25107.781312729425</v>
      </c>
      <c r="I120" s="339">
        <f t="shared" si="14"/>
        <v>25107.781312729425</v>
      </c>
      <c r="J120" s="162">
        <f t="shared" si="9"/>
        <v>0</v>
      </c>
      <c r="K120" s="162"/>
      <c r="L120" s="330"/>
      <c r="M120" s="162">
        <f t="shared" si="10"/>
        <v>0</v>
      </c>
      <c r="N120" s="330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165654</v>
      </c>
      <c r="E121" s="164">
        <f t="shared" si="16"/>
        <v>7694</v>
      </c>
      <c r="F121" s="163">
        <f t="shared" si="17"/>
        <v>157960</v>
      </c>
      <c r="G121" s="163">
        <f t="shared" si="18"/>
        <v>161807</v>
      </c>
      <c r="H121" s="328">
        <f t="shared" si="13"/>
        <v>24317.333861563118</v>
      </c>
      <c r="I121" s="339">
        <f t="shared" si="14"/>
        <v>24317.333861563118</v>
      </c>
      <c r="J121" s="162">
        <f t="shared" si="9"/>
        <v>0</v>
      </c>
      <c r="K121" s="162"/>
      <c r="L121" s="330"/>
      <c r="M121" s="162">
        <f t="shared" si="10"/>
        <v>0</v>
      </c>
      <c r="N121" s="330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157960</v>
      </c>
      <c r="E122" s="164">
        <f t="shared" si="16"/>
        <v>7694</v>
      </c>
      <c r="F122" s="163">
        <f t="shared" si="17"/>
        <v>150266</v>
      </c>
      <c r="G122" s="163">
        <f t="shared" si="18"/>
        <v>154113</v>
      </c>
      <c r="H122" s="328">
        <f t="shared" si="13"/>
        <v>23526.886410396808</v>
      </c>
      <c r="I122" s="339">
        <f t="shared" si="14"/>
        <v>23526.886410396808</v>
      </c>
      <c r="J122" s="162">
        <f t="shared" si="9"/>
        <v>0</v>
      </c>
      <c r="K122" s="162"/>
      <c r="L122" s="330"/>
      <c r="M122" s="162">
        <f t="shared" si="10"/>
        <v>0</v>
      </c>
      <c r="N122" s="330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150266</v>
      </c>
      <c r="E123" s="164">
        <f t="shared" si="16"/>
        <v>7694</v>
      </c>
      <c r="F123" s="163">
        <f t="shared" si="17"/>
        <v>142572</v>
      </c>
      <c r="G123" s="163">
        <f t="shared" si="18"/>
        <v>146419</v>
      </c>
      <c r="H123" s="328">
        <f t="shared" si="13"/>
        <v>22736.438959230501</v>
      </c>
      <c r="I123" s="339">
        <f t="shared" si="14"/>
        <v>22736.438959230501</v>
      </c>
      <c r="J123" s="162">
        <f t="shared" si="9"/>
        <v>0</v>
      </c>
      <c r="K123" s="162"/>
      <c r="L123" s="330"/>
      <c r="M123" s="162">
        <f t="shared" si="10"/>
        <v>0</v>
      </c>
      <c r="N123" s="330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142572</v>
      </c>
      <c r="E124" s="164">
        <f t="shared" si="16"/>
        <v>7694</v>
      </c>
      <c r="F124" s="163">
        <f t="shared" si="17"/>
        <v>134878</v>
      </c>
      <c r="G124" s="163">
        <f t="shared" si="18"/>
        <v>138725</v>
      </c>
      <c r="H124" s="328">
        <f t="shared" si="13"/>
        <v>21945.991508064195</v>
      </c>
      <c r="I124" s="339">
        <f t="shared" si="14"/>
        <v>21945.991508064195</v>
      </c>
      <c r="J124" s="162">
        <f t="shared" si="9"/>
        <v>0</v>
      </c>
      <c r="K124" s="162"/>
      <c r="L124" s="330"/>
      <c r="M124" s="162">
        <f t="shared" si="10"/>
        <v>0</v>
      </c>
      <c r="N124" s="330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134878</v>
      </c>
      <c r="E125" s="164">
        <f t="shared" si="16"/>
        <v>7694</v>
      </c>
      <c r="F125" s="163">
        <f t="shared" si="17"/>
        <v>127184</v>
      </c>
      <c r="G125" s="163">
        <f t="shared" si="18"/>
        <v>131031</v>
      </c>
      <c r="H125" s="328">
        <f t="shared" si="13"/>
        <v>21155.544056897888</v>
      </c>
      <c r="I125" s="339">
        <f t="shared" si="14"/>
        <v>21155.544056897888</v>
      </c>
      <c r="J125" s="162">
        <f t="shared" si="9"/>
        <v>0</v>
      </c>
      <c r="K125" s="162"/>
      <c r="L125" s="330"/>
      <c r="M125" s="162">
        <f t="shared" si="10"/>
        <v>0</v>
      </c>
      <c r="N125" s="330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127184</v>
      </c>
      <c r="E126" s="164">
        <f t="shared" si="16"/>
        <v>7694</v>
      </c>
      <c r="F126" s="163">
        <f t="shared" si="17"/>
        <v>119490</v>
      </c>
      <c r="G126" s="163">
        <f t="shared" si="18"/>
        <v>123337</v>
      </c>
      <c r="H126" s="328">
        <f t="shared" si="13"/>
        <v>20365.096605731582</v>
      </c>
      <c r="I126" s="339">
        <f t="shared" si="14"/>
        <v>20365.096605731582</v>
      </c>
      <c r="J126" s="162">
        <f t="shared" si="9"/>
        <v>0</v>
      </c>
      <c r="K126" s="162"/>
      <c r="L126" s="330"/>
      <c r="M126" s="162">
        <f t="shared" si="10"/>
        <v>0</v>
      </c>
      <c r="N126" s="330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119490</v>
      </c>
      <c r="E127" s="164">
        <f t="shared" si="16"/>
        <v>7694</v>
      </c>
      <c r="F127" s="163">
        <f t="shared" si="17"/>
        <v>111796</v>
      </c>
      <c r="G127" s="163">
        <f t="shared" si="18"/>
        <v>115643</v>
      </c>
      <c r="H127" s="328">
        <f t="shared" si="13"/>
        <v>19574.649154565275</v>
      </c>
      <c r="I127" s="339">
        <f t="shared" si="14"/>
        <v>19574.649154565275</v>
      </c>
      <c r="J127" s="162">
        <f t="shared" si="9"/>
        <v>0</v>
      </c>
      <c r="K127" s="162"/>
      <c r="L127" s="330"/>
      <c r="M127" s="162">
        <f t="shared" si="10"/>
        <v>0</v>
      </c>
      <c r="N127" s="330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111796</v>
      </c>
      <c r="E128" s="164">
        <f t="shared" si="16"/>
        <v>7694</v>
      </c>
      <c r="F128" s="163">
        <f t="shared" si="17"/>
        <v>104102</v>
      </c>
      <c r="G128" s="163">
        <f t="shared" si="18"/>
        <v>107949</v>
      </c>
      <c r="H128" s="328">
        <f t="shared" si="13"/>
        <v>18784.201703398969</v>
      </c>
      <c r="I128" s="339">
        <f t="shared" si="14"/>
        <v>18784.201703398969</v>
      </c>
      <c r="J128" s="162">
        <f t="shared" si="9"/>
        <v>0</v>
      </c>
      <c r="K128" s="162"/>
      <c r="L128" s="330"/>
      <c r="M128" s="162">
        <f t="shared" si="10"/>
        <v>0</v>
      </c>
      <c r="N128" s="330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104102</v>
      </c>
      <c r="E129" s="164">
        <f t="shared" si="16"/>
        <v>7694</v>
      </c>
      <c r="F129" s="163">
        <f t="shared" si="17"/>
        <v>96408</v>
      </c>
      <c r="G129" s="163">
        <f t="shared" si="18"/>
        <v>100255</v>
      </c>
      <c r="H129" s="328">
        <f t="shared" si="13"/>
        <v>17993.754252232662</v>
      </c>
      <c r="I129" s="339">
        <f t="shared" si="14"/>
        <v>17993.754252232662</v>
      </c>
      <c r="J129" s="162">
        <f t="shared" si="9"/>
        <v>0</v>
      </c>
      <c r="K129" s="162"/>
      <c r="L129" s="330"/>
      <c r="M129" s="162">
        <f t="shared" si="10"/>
        <v>0</v>
      </c>
      <c r="N129" s="330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96408</v>
      </c>
      <c r="E130" s="164">
        <f t="shared" si="16"/>
        <v>7694</v>
      </c>
      <c r="F130" s="163">
        <f t="shared" si="17"/>
        <v>88714</v>
      </c>
      <c r="G130" s="163">
        <f t="shared" si="18"/>
        <v>92561</v>
      </c>
      <c r="H130" s="328">
        <f t="shared" si="13"/>
        <v>17203.306801066356</v>
      </c>
      <c r="I130" s="339">
        <f t="shared" si="14"/>
        <v>17203.306801066356</v>
      </c>
      <c r="J130" s="162">
        <f t="shared" si="9"/>
        <v>0</v>
      </c>
      <c r="K130" s="162"/>
      <c r="L130" s="330"/>
      <c r="M130" s="162">
        <f t="shared" si="10"/>
        <v>0</v>
      </c>
      <c r="N130" s="330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88714</v>
      </c>
      <c r="E131" s="164">
        <f t="shared" si="16"/>
        <v>7694</v>
      </c>
      <c r="F131" s="163">
        <f t="shared" si="17"/>
        <v>81020</v>
      </c>
      <c r="G131" s="163">
        <f t="shared" si="18"/>
        <v>84867</v>
      </c>
      <c r="H131" s="328">
        <f t="shared" si="13"/>
        <v>16412.859349900049</v>
      </c>
      <c r="I131" s="339">
        <f t="shared" si="14"/>
        <v>16412.859349900049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81020</v>
      </c>
      <c r="E132" s="164">
        <f t="shared" si="16"/>
        <v>7694</v>
      </c>
      <c r="F132" s="163">
        <f t="shared" si="17"/>
        <v>73326</v>
      </c>
      <c r="G132" s="163">
        <f t="shared" si="18"/>
        <v>77173</v>
      </c>
      <c r="H132" s="328">
        <f t="shared" si="13"/>
        <v>15622.411898733742</v>
      </c>
      <c r="I132" s="339">
        <f t="shared" si="14"/>
        <v>15622.411898733742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73326</v>
      </c>
      <c r="E133" s="164">
        <f t="shared" si="16"/>
        <v>7694</v>
      </c>
      <c r="F133" s="163">
        <f t="shared" si="17"/>
        <v>65632</v>
      </c>
      <c r="G133" s="163">
        <f t="shared" si="18"/>
        <v>69479</v>
      </c>
      <c r="H133" s="328">
        <f t="shared" si="13"/>
        <v>14831.964447567434</v>
      </c>
      <c r="I133" s="339">
        <f t="shared" si="14"/>
        <v>14831.964447567434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65632</v>
      </c>
      <c r="E134" s="164">
        <f t="shared" si="16"/>
        <v>7694</v>
      </c>
      <c r="F134" s="163">
        <f t="shared" si="17"/>
        <v>57938</v>
      </c>
      <c r="G134" s="163">
        <f t="shared" si="18"/>
        <v>61785</v>
      </c>
      <c r="H134" s="328">
        <f t="shared" si="13"/>
        <v>14041.516996401127</v>
      </c>
      <c r="I134" s="339">
        <f t="shared" si="14"/>
        <v>14041.516996401127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57938</v>
      </c>
      <c r="E135" s="164">
        <f t="shared" si="16"/>
        <v>7694</v>
      </c>
      <c r="F135" s="163">
        <f t="shared" si="17"/>
        <v>50244</v>
      </c>
      <c r="G135" s="163">
        <f t="shared" si="18"/>
        <v>54091</v>
      </c>
      <c r="H135" s="328">
        <f t="shared" si="13"/>
        <v>13251.069545234819</v>
      </c>
      <c r="I135" s="339">
        <f t="shared" si="14"/>
        <v>13251.069545234819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50244</v>
      </c>
      <c r="E136" s="164">
        <f t="shared" si="16"/>
        <v>7694</v>
      </c>
      <c r="F136" s="163">
        <f t="shared" si="17"/>
        <v>42550</v>
      </c>
      <c r="G136" s="163">
        <f t="shared" si="18"/>
        <v>46397</v>
      </c>
      <c r="H136" s="328">
        <f t="shared" si="13"/>
        <v>12460.622094068513</v>
      </c>
      <c r="I136" s="339">
        <f t="shared" si="14"/>
        <v>12460.622094068513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42550</v>
      </c>
      <c r="E137" s="164">
        <f t="shared" si="16"/>
        <v>7694</v>
      </c>
      <c r="F137" s="163">
        <f t="shared" si="17"/>
        <v>34856</v>
      </c>
      <c r="G137" s="163">
        <f t="shared" si="18"/>
        <v>38703</v>
      </c>
      <c r="H137" s="328">
        <f t="shared" si="13"/>
        <v>11670.174642902206</v>
      </c>
      <c r="I137" s="339">
        <f t="shared" si="14"/>
        <v>11670.174642902206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34856</v>
      </c>
      <c r="E138" s="164">
        <f t="shared" si="16"/>
        <v>7694</v>
      </c>
      <c r="F138" s="163">
        <f t="shared" si="17"/>
        <v>27162</v>
      </c>
      <c r="G138" s="163">
        <f t="shared" si="18"/>
        <v>31009</v>
      </c>
      <c r="H138" s="328">
        <f t="shared" si="13"/>
        <v>10879.727191735899</v>
      </c>
      <c r="I138" s="339">
        <f t="shared" si="14"/>
        <v>10879.727191735899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27162</v>
      </c>
      <c r="E139" s="164">
        <f t="shared" si="16"/>
        <v>7694</v>
      </c>
      <c r="F139" s="163">
        <f t="shared" si="17"/>
        <v>19468</v>
      </c>
      <c r="G139" s="163">
        <f t="shared" si="18"/>
        <v>23315</v>
      </c>
      <c r="H139" s="328">
        <f t="shared" si="13"/>
        <v>10089.279740569593</v>
      </c>
      <c r="I139" s="339">
        <f t="shared" si="14"/>
        <v>10089.279740569593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19468</v>
      </c>
      <c r="E140" s="164">
        <f t="shared" si="16"/>
        <v>7694</v>
      </c>
      <c r="F140" s="163">
        <f t="shared" si="17"/>
        <v>11774</v>
      </c>
      <c r="G140" s="163">
        <f t="shared" si="18"/>
        <v>15621</v>
      </c>
      <c r="H140" s="328">
        <f t="shared" si="13"/>
        <v>9298.8322894032863</v>
      </c>
      <c r="I140" s="339">
        <f t="shared" si="14"/>
        <v>9298.8322894032863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11774</v>
      </c>
      <c r="E141" s="164">
        <f t="shared" si="16"/>
        <v>7694</v>
      </c>
      <c r="F141" s="163">
        <f t="shared" si="17"/>
        <v>4080</v>
      </c>
      <c r="G141" s="163">
        <f t="shared" si="18"/>
        <v>7927</v>
      </c>
      <c r="H141" s="328">
        <f t="shared" si="13"/>
        <v>8508.3848382369797</v>
      </c>
      <c r="I141" s="339">
        <f t="shared" si="14"/>
        <v>8508.3848382369797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4080</v>
      </c>
      <c r="E142" s="164">
        <f t="shared" si="16"/>
        <v>4080</v>
      </c>
      <c r="F142" s="163">
        <f t="shared" si="17"/>
        <v>0</v>
      </c>
      <c r="G142" s="163">
        <f t="shared" si="18"/>
        <v>2040</v>
      </c>
      <c r="H142" s="328">
        <f t="shared" si="13"/>
        <v>4289.5805563269123</v>
      </c>
      <c r="I142" s="339">
        <f t="shared" si="14"/>
        <v>4289.5805563269123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3"/>
        <v>0</v>
      </c>
      <c r="I143" s="339">
        <f t="shared" si="14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3"/>
        <v>0</v>
      </c>
      <c r="I144" s="339">
        <f t="shared" si="14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3"/>
        <v>0</v>
      </c>
      <c r="I145" s="339">
        <f t="shared" si="14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3"/>
        <v>0</v>
      </c>
      <c r="I146" s="339">
        <f t="shared" si="14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3"/>
        <v>0</v>
      </c>
      <c r="I147" s="339">
        <f t="shared" si="14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3"/>
        <v>0</v>
      </c>
      <c r="I148" s="339">
        <f t="shared" si="14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3"/>
        <v>0</v>
      </c>
      <c r="I149" s="339">
        <f t="shared" si="14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3"/>
        <v>0</v>
      </c>
      <c r="I150" s="339">
        <f t="shared" si="14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3"/>
        <v>0</v>
      </c>
      <c r="I151" s="339">
        <f t="shared" si="14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3"/>
        <v>0</v>
      </c>
      <c r="I152" s="339">
        <f t="shared" si="14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3"/>
        <v>0</v>
      </c>
      <c r="I153" s="339">
        <f t="shared" si="14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3"/>
        <v>0</v>
      </c>
      <c r="I154" s="341">
        <f t="shared" si="14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330824</v>
      </c>
      <c r="F155" s="115"/>
      <c r="G155" s="115"/>
      <c r="H155" s="115">
        <f>SUM(H99:H154)</f>
        <v>1066567.8476693181</v>
      </c>
      <c r="I155" s="115">
        <f>SUM(I99:I154)</f>
        <v>1066567.8476693181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view="pageBreakPreview" topLeftCell="A61" zoomScale="78" zoomScaleNormal="100" zoomScaleSheetLayoutView="78" workbookViewId="0">
      <selection activeCell="D17" sqref="D17:H1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22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19038.576480221469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19038.576480221469</v>
      </c>
      <c r="O6" s="1"/>
      <c r="P6" s="1"/>
    </row>
    <row r="7" spans="1:16" ht="13.5" thickBot="1">
      <c r="C7" s="127" t="s">
        <v>46</v>
      </c>
      <c r="D7" s="227" t="s">
        <v>280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302</v>
      </c>
      <c r="E9" s="406" t="s">
        <v>303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244000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2018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5422.2222222222226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2018</v>
      </c>
      <c r="D17" s="413">
        <v>0</v>
      </c>
      <c r="E17" s="418">
        <v>2711.1111111111113</v>
      </c>
      <c r="F17" s="413">
        <v>241288.88888888888</v>
      </c>
      <c r="G17" s="418">
        <v>19038.576480221469</v>
      </c>
      <c r="H17" s="416">
        <v>19038.576480221469</v>
      </c>
      <c r="I17" s="160">
        <f t="shared" ref="I17:I72" si="0">H17-G17</f>
        <v>0</v>
      </c>
      <c r="J17" s="160"/>
      <c r="K17" s="332">
        <f>+G17</f>
        <v>19038.576480221469</v>
      </c>
      <c r="L17" s="161">
        <f t="shared" ref="L17:L72" si="1">IF(K17&lt;&gt;0,+G17-K17,0)</f>
        <v>0</v>
      </c>
      <c r="M17" s="332">
        <f>+H17</f>
        <v>19038.576480221469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241288.88888888888</v>
      </c>
      <c r="E18" s="164">
        <f t="shared" ref="E18:E72" si="4">IF(+I$14&lt;F17,I$14,D18)</f>
        <v>5422.2222222222226</v>
      </c>
      <c r="F18" s="163">
        <f t="shared" ref="F18:F72" si="5">+D18-E18</f>
        <v>235866.66666666666</v>
      </c>
      <c r="G18" s="165">
        <f t="shared" ref="G18:G72" si="6">(D18+F18)/2*I$12+E18</f>
        <v>37710.243626305615</v>
      </c>
      <c r="H18" s="147">
        <f t="shared" ref="H18:H72" si="7">+(D18+F18)/2*I$13+E18</f>
        <v>37710.243626305615</v>
      </c>
      <c r="I18" s="160">
        <f t="shared" si="0"/>
        <v>0</v>
      </c>
      <c r="J18" s="160"/>
      <c r="K18" s="330"/>
      <c r="L18" s="162">
        <f t="shared" si="1"/>
        <v>0</v>
      </c>
      <c r="M18" s="330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235866.66666666666</v>
      </c>
      <c r="E19" s="164">
        <f t="shared" si="4"/>
        <v>5422.2222222222226</v>
      </c>
      <c r="F19" s="163">
        <f t="shared" si="5"/>
        <v>230444.44444444444</v>
      </c>
      <c r="G19" s="165">
        <f t="shared" si="6"/>
        <v>36976.424958030999</v>
      </c>
      <c r="H19" s="147">
        <f t="shared" si="7"/>
        <v>36976.424958030999</v>
      </c>
      <c r="I19" s="160">
        <f t="shared" si="0"/>
        <v>0</v>
      </c>
      <c r="J19" s="160"/>
      <c r="K19" s="330"/>
      <c r="L19" s="162">
        <f t="shared" si="1"/>
        <v>0</v>
      </c>
      <c r="M19" s="330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230444.44444444444</v>
      </c>
      <c r="E20" s="164">
        <f t="shared" si="4"/>
        <v>5422.2222222222226</v>
      </c>
      <c r="F20" s="163">
        <f t="shared" si="5"/>
        <v>225022.22222222222</v>
      </c>
      <c r="G20" s="165">
        <f t="shared" si="6"/>
        <v>36242.606289756375</v>
      </c>
      <c r="H20" s="147">
        <f t="shared" si="7"/>
        <v>36242.606289756375</v>
      </c>
      <c r="I20" s="160">
        <f t="shared" si="0"/>
        <v>0</v>
      </c>
      <c r="J20" s="160"/>
      <c r="K20" s="330"/>
      <c r="L20" s="162">
        <f t="shared" si="1"/>
        <v>0</v>
      </c>
      <c r="M20" s="330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225022.22222222222</v>
      </c>
      <c r="E21" s="164">
        <f t="shared" si="4"/>
        <v>5422.2222222222226</v>
      </c>
      <c r="F21" s="163">
        <f t="shared" si="5"/>
        <v>219600</v>
      </c>
      <c r="G21" s="165">
        <f t="shared" si="6"/>
        <v>35508.787621481759</v>
      </c>
      <c r="H21" s="147">
        <f t="shared" si="7"/>
        <v>35508.787621481759</v>
      </c>
      <c r="I21" s="160">
        <f t="shared" si="0"/>
        <v>0</v>
      </c>
      <c r="J21" s="160"/>
      <c r="K21" s="330"/>
      <c r="L21" s="162">
        <f t="shared" si="1"/>
        <v>0</v>
      </c>
      <c r="M21" s="330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219600</v>
      </c>
      <c r="E22" s="164">
        <f t="shared" si="4"/>
        <v>5422.2222222222226</v>
      </c>
      <c r="F22" s="163">
        <f t="shared" si="5"/>
        <v>214177.77777777778</v>
      </c>
      <c r="G22" s="165">
        <f t="shared" si="6"/>
        <v>34774.968953207135</v>
      </c>
      <c r="H22" s="147">
        <f t="shared" si="7"/>
        <v>34774.968953207135</v>
      </c>
      <c r="I22" s="160">
        <f t="shared" si="0"/>
        <v>0</v>
      </c>
      <c r="J22" s="160"/>
      <c r="K22" s="330"/>
      <c r="L22" s="162">
        <f t="shared" si="1"/>
        <v>0</v>
      </c>
      <c r="M22" s="330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214177.77777777778</v>
      </c>
      <c r="E23" s="164">
        <f t="shared" si="4"/>
        <v>5422.2222222222226</v>
      </c>
      <c r="F23" s="163">
        <f t="shared" si="5"/>
        <v>208755.55555555556</v>
      </c>
      <c r="G23" s="165">
        <f t="shared" si="6"/>
        <v>34041.150284932512</v>
      </c>
      <c r="H23" s="147">
        <f t="shared" si="7"/>
        <v>34041.150284932512</v>
      </c>
      <c r="I23" s="160">
        <f t="shared" si="0"/>
        <v>0</v>
      </c>
      <c r="J23" s="160"/>
      <c r="K23" s="330"/>
      <c r="L23" s="162">
        <f t="shared" si="1"/>
        <v>0</v>
      </c>
      <c r="M23" s="330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208755.55555555556</v>
      </c>
      <c r="E24" s="164">
        <f t="shared" si="4"/>
        <v>5422.2222222222226</v>
      </c>
      <c r="F24" s="163">
        <f t="shared" si="5"/>
        <v>203333.33333333334</v>
      </c>
      <c r="G24" s="165">
        <f t="shared" si="6"/>
        <v>33307.331616657888</v>
      </c>
      <c r="H24" s="147">
        <f t="shared" si="7"/>
        <v>33307.331616657888</v>
      </c>
      <c r="I24" s="160">
        <f t="shared" si="0"/>
        <v>0</v>
      </c>
      <c r="J24" s="160"/>
      <c r="K24" s="330"/>
      <c r="L24" s="162">
        <f t="shared" si="1"/>
        <v>0</v>
      </c>
      <c r="M24" s="330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203333.33333333334</v>
      </c>
      <c r="E25" s="164">
        <f t="shared" si="4"/>
        <v>5422.2222222222226</v>
      </c>
      <c r="F25" s="163">
        <f t="shared" si="5"/>
        <v>197911.11111111112</v>
      </c>
      <c r="G25" s="165">
        <f t="shared" si="6"/>
        <v>32573.512948383268</v>
      </c>
      <c r="H25" s="147">
        <f t="shared" si="7"/>
        <v>32573.512948383268</v>
      </c>
      <c r="I25" s="160">
        <f t="shared" si="0"/>
        <v>0</v>
      </c>
      <c r="J25" s="160"/>
      <c r="K25" s="330"/>
      <c r="L25" s="162">
        <f t="shared" si="1"/>
        <v>0</v>
      </c>
      <c r="M25" s="330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197911.11111111112</v>
      </c>
      <c r="E26" s="164">
        <f t="shared" si="4"/>
        <v>5422.2222222222226</v>
      </c>
      <c r="F26" s="163">
        <f t="shared" si="5"/>
        <v>192488.88888888891</v>
      </c>
      <c r="G26" s="165">
        <f t="shared" si="6"/>
        <v>31839.694280108641</v>
      </c>
      <c r="H26" s="147">
        <f t="shared" si="7"/>
        <v>31839.694280108641</v>
      </c>
      <c r="I26" s="160">
        <f t="shared" si="0"/>
        <v>0</v>
      </c>
      <c r="J26" s="160"/>
      <c r="K26" s="330"/>
      <c r="L26" s="162">
        <f t="shared" si="1"/>
        <v>0</v>
      </c>
      <c r="M26" s="330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192488.88888888891</v>
      </c>
      <c r="E27" s="164">
        <f t="shared" si="4"/>
        <v>5422.2222222222226</v>
      </c>
      <c r="F27" s="163">
        <f t="shared" si="5"/>
        <v>187066.66666666669</v>
      </c>
      <c r="G27" s="165">
        <f t="shared" si="6"/>
        <v>31105.875611834024</v>
      </c>
      <c r="H27" s="147">
        <f t="shared" si="7"/>
        <v>31105.875611834024</v>
      </c>
      <c r="I27" s="160">
        <f t="shared" si="0"/>
        <v>0</v>
      </c>
      <c r="J27" s="160"/>
      <c r="K27" s="330"/>
      <c r="L27" s="162">
        <f t="shared" si="1"/>
        <v>0</v>
      </c>
      <c r="M27" s="330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187066.66666666669</v>
      </c>
      <c r="E28" s="164">
        <f t="shared" si="4"/>
        <v>5422.2222222222226</v>
      </c>
      <c r="F28" s="163">
        <f t="shared" si="5"/>
        <v>181644.44444444447</v>
      </c>
      <c r="G28" s="165">
        <f t="shared" si="6"/>
        <v>30372.056943559397</v>
      </c>
      <c r="H28" s="147">
        <f t="shared" si="7"/>
        <v>30372.056943559397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181644.44444444447</v>
      </c>
      <c r="E29" s="164">
        <f t="shared" si="4"/>
        <v>5422.2222222222226</v>
      </c>
      <c r="F29" s="163">
        <f t="shared" si="5"/>
        <v>176222.22222222225</v>
      </c>
      <c r="G29" s="165">
        <f t="shared" si="6"/>
        <v>29638.238275284781</v>
      </c>
      <c r="H29" s="147">
        <f t="shared" si="7"/>
        <v>29638.238275284781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176222.22222222225</v>
      </c>
      <c r="E30" s="164">
        <f t="shared" si="4"/>
        <v>5422.2222222222226</v>
      </c>
      <c r="F30" s="163">
        <f t="shared" si="5"/>
        <v>170800.00000000003</v>
      </c>
      <c r="G30" s="165">
        <f t="shared" si="6"/>
        <v>28904.419607010153</v>
      </c>
      <c r="H30" s="147">
        <f t="shared" si="7"/>
        <v>28904.419607010153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170800.00000000003</v>
      </c>
      <c r="E31" s="164">
        <f t="shared" si="4"/>
        <v>5422.2222222222226</v>
      </c>
      <c r="F31" s="163">
        <f t="shared" si="5"/>
        <v>165377.77777777781</v>
      </c>
      <c r="G31" s="165">
        <f t="shared" si="6"/>
        <v>28170.600938735533</v>
      </c>
      <c r="H31" s="147">
        <f t="shared" si="7"/>
        <v>28170.600938735533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165377.77777777781</v>
      </c>
      <c r="E32" s="164">
        <f t="shared" si="4"/>
        <v>5422.2222222222226</v>
      </c>
      <c r="F32" s="163">
        <f t="shared" si="5"/>
        <v>159955.55555555559</v>
      </c>
      <c r="G32" s="165">
        <f t="shared" si="6"/>
        <v>27436.78227046091</v>
      </c>
      <c r="H32" s="147">
        <f t="shared" si="7"/>
        <v>27436.78227046091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159955.55555555559</v>
      </c>
      <c r="E33" s="164">
        <f t="shared" si="4"/>
        <v>5422.2222222222226</v>
      </c>
      <c r="F33" s="163">
        <f t="shared" si="5"/>
        <v>154533.33333333337</v>
      </c>
      <c r="G33" s="165">
        <f t="shared" si="6"/>
        <v>26702.96360218629</v>
      </c>
      <c r="H33" s="147">
        <f t="shared" si="7"/>
        <v>26702.96360218629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154533.33333333337</v>
      </c>
      <c r="E34" s="164">
        <f t="shared" si="4"/>
        <v>5422.2222222222226</v>
      </c>
      <c r="F34" s="163">
        <f t="shared" si="5"/>
        <v>149111.11111111115</v>
      </c>
      <c r="G34" s="165">
        <f t="shared" si="6"/>
        <v>25969.144933911663</v>
      </c>
      <c r="H34" s="147">
        <f t="shared" si="7"/>
        <v>25969.144933911663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149111.11111111115</v>
      </c>
      <c r="E35" s="164">
        <f t="shared" si="4"/>
        <v>5422.2222222222226</v>
      </c>
      <c r="F35" s="163">
        <f t="shared" si="5"/>
        <v>143688.88888888893</v>
      </c>
      <c r="G35" s="165">
        <f t="shared" si="6"/>
        <v>25235.326265637046</v>
      </c>
      <c r="H35" s="147">
        <f t="shared" si="7"/>
        <v>25235.326265637046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143688.88888888893</v>
      </c>
      <c r="E36" s="164">
        <f t="shared" si="4"/>
        <v>5422.2222222222226</v>
      </c>
      <c r="F36" s="163">
        <f t="shared" si="5"/>
        <v>138266.66666666672</v>
      </c>
      <c r="G36" s="165">
        <f t="shared" si="6"/>
        <v>24501.507597362419</v>
      </c>
      <c r="H36" s="147">
        <f t="shared" si="7"/>
        <v>24501.507597362419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138266.66666666672</v>
      </c>
      <c r="E37" s="164">
        <f t="shared" si="4"/>
        <v>5422.2222222222226</v>
      </c>
      <c r="F37" s="163">
        <f t="shared" si="5"/>
        <v>132844.4444444445</v>
      </c>
      <c r="G37" s="165">
        <f t="shared" si="6"/>
        <v>23767.688929087799</v>
      </c>
      <c r="H37" s="147">
        <f t="shared" si="7"/>
        <v>23767.688929087799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132844.4444444445</v>
      </c>
      <c r="E38" s="164">
        <f t="shared" si="4"/>
        <v>5422.2222222222226</v>
      </c>
      <c r="F38" s="163">
        <f t="shared" si="5"/>
        <v>127422.22222222228</v>
      </c>
      <c r="G38" s="165">
        <f t="shared" si="6"/>
        <v>23033.870260813175</v>
      </c>
      <c r="H38" s="147">
        <f t="shared" si="7"/>
        <v>23033.870260813175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127422.22222222228</v>
      </c>
      <c r="E39" s="164">
        <f t="shared" si="4"/>
        <v>5422.2222222222226</v>
      </c>
      <c r="F39" s="163">
        <f t="shared" si="5"/>
        <v>122000.00000000006</v>
      </c>
      <c r="G39" s="165">
        <f t="shared" si="6"/>
        <v>22300.051592538555</v>
      </c>
      <c r="H39" s="147">
        <f t="shared" si="7"/>
        <v>22300.051592538555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122000.00000000006</v>
      </c>
      <c r="E40" s="164">
        <f t="shared" si="4"/>
        <v>5422.2222222222226</v>
      </c>
      <c r="F40" s="163">
        <f t="shared" si="5"/>
        <v>116577.77777777784</v>
      </c>
      <c r="G40" s="165">
        <f t="shared" si="6"/>
        <v>21566.232924263932</v>
      </c>
      <c r="H40" s="147">
        <f t="shared" si="7"/>
        <v>21566.232924263932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116577.77777777784</v>
      </c>
      <c r="E41" s="164">
        <f t="shared" si="4"/>
        <v>5422.2222222222226</v>
      </c>
      <c r="F41" s="163">
        <f t="shared" si="5"/>
        <v>111155.55555555562</v>
      </c>
      <c r="G41" s="165">
        <f t="shared" si="6"/>
        <v>20832.414255989308</v>
      </c>
      <c r="H41" s="147">
        <f t="shared" si="7"/>
        <v>20832.414255989308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111155.55555555562</v>
      </c>
      <c r="E42" s="164">
        <f t="shared" si="4"/>
        <v>5422.2222222222226</v>
      </c>
      <c r="F42" s="163">
        <f t="shared" si="5"/>
        <v>105733.3333333334</v>
      </c>
      <c r="G42" s="165">
        <f t="shared" si="6"/>
        <v>20098.595587714684</v>
      </c>
      <c r="H42" s="147">
        <f t="shared" si="7"/>
        <v>20098.595587714684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105733.3333333334</v>
      </c>
      <c r="E43" s="164">
        <f t="shared" si="4"/>
        <v>5422.2222222222226</v>
      </c>
      <c r="F43" s="163">
        <f t="shared" si="5"/>
        <v>100311.11111111118</v>
      </c>
      <c r="G43" s="165">
        <f t="shared" si="6"/>
        <v>19364.776919440064</v>
      </c>
      <c r="H43" s="147">
        <f t="shared" si="7"/>
        <v>19364.776919440064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100311.11111111118</v>
      </c>
      <c r="E44" s="164">
        <f t="shared" si="4"/>
        <v>5422.2222222222226</v>
      </c>
      <c r="F44" s="163">
        <f t="shared" si="5"/>
        <v>94888.888888888963</v>
      </c>
      <c r="G44" s="165">
        <f t="shared" si="6"/>
        <v>18630.958251165444</v>
      </c>
      <c r="H44" s="147">
        <f t="shared" si="7"/>
        <v>18630.958251165444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94888.888888888963</v>
      </c>
      <c r="E45" s="164">
        <f t="shared" si="4"/>
        <v>5422.2222222222226</v>
      </c>
      <c r="F45" s="163">
        <f t="shared" si="5"/>
        <v>89466.666666666744</v>
      </c>
      <c r="G45" s="165">
        <f t="shared" si="6"/>
        <v>17897.139582890821</v>
      </c>
      <c r="H45" s="147">
        <f t="shared" si="7"/>
        <v>17897.139582890821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89466.666666666744</v>
      </c>
      <c r="E46" s="164">
        <f t="shared" si="4"/>
        <v>5422.2222222222226</v>
      </c>
      <c r="F46" s="163">
        <f t="shared" si="5"/>
        <v>84044.444444444525</v>
      </c>
      <c r="G46" s="165">
        <f t="shared" si="6"/>
        <v>17163.320914616197</v>
      </c>
      <c r="H46" s="147">
        <f t="shared" si="7"/>
        <v>17163.320914616197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84044.444444444525</v>
      </c>
      <c r="E47" s="164">
        <f t="shared" si="4"/>
        <v>5422.2222222222226</v>
      </c>
      <c r="F47" s="163">
        <f t="shared" si="5"/>
        <v>78622.222222222306</v>
      </c>
      <c r="G47" s="165">
        <f t="shared" si="6"/>
        <v>16429.502246341573</v>
      </c>
      <c r="H47" s="147">
        <f t="shared" si="7"/>
        <v>16429.502246341573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78622.222222222306</v>
      </c>
      <c r="E48" s="164">
        <f t="shared" si="4"/>
        <v>5422.2222222222226</v>
      </c>
      <c r="F48" s="163">
        <f t="shared" si="5"/>
        <v>73200.000000000087</v>
      </c>
      <c r="G48" s="165">
        <f t="shared" si="6"/>
        <v>15695.683578066953</v>
      </c>
      <c r="H48" s="147">
        <f t="shared" si="7"/>
        <v>15695.683578066953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73200.000000000087</v>
      </c>
      <c r="E49" s="164">
        <f t="shared" si="4"/>
        <v>5422.2222222222226</v>
      </c>
      <c r="F49" s="163">
        <f t="shared" si="5"/>
        <v>67777.777777777868</v>
      </c>
      <c r="G49" s="165">
        <f t="shared" si="6"/>
        <v>14961.86490979233</v>
      </c>
      <c r="H49" s="147">
        <f t="shared" si="7"/>
        <v>14961.86490979233</v>
      </c>
      <c r="I49" s="160">
        <f t="shared" si="0"/>
        <v>0</v>
      </c>
      <c r="J49" s="160"/>
      <c r="K49" s="330"/>
      <c r="L49" s="162">
        <f t="shared" si="1"/>
        <v>0</v>
      </c>
      <c r="M49" s="330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67777.777777777868</v>
      </c>
      <c r="E50" s="164">
        <f t="shared" si="4"/>
        <v>5422.2222222222226</v>
      </c>
      <c r="F50" s="163">
        <f t="shared" si="5"/>
        <v>62355.555555555649</v>
      </c>
      <c r="G50" s="165">
        <f t="shared" si="6"/>
        <v>14228.046241517708</v>
      </c>
      <c r="H50" s="147">
        <f t="shared" si="7"/>
        <v>14228.046241517708</v>
      </c>
      <c r="I50" s="160">
        <f t="shared" si="0"/>
        <v>0</v>
      </c>
      <c r="J50" s="160"/>
      <c r="K50" s="330"/>
      <c r="L50" s="162">
        <f t="shared" si="1"/>
        <v>0</v>
      </c>
      <c r="M50" s="330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62355.555555555649</v>
      </c>
      <c r="E51" s="164">
        <f t="shared" si="4"/>
        <v>5422.2222222222226</v>
      </c>
      <c r="F51" s="163">
        <f t="shared" si="5"/>
        <v>56933.33333333343</v>
      </c>
      <c r="G51" s="165">
        <f t="shared" si="6"/>
        <v>13494.227573243086</v>
      </c>
      <c r="H51" s="147">
        <f t="shared" si="7"/>
        <v>13494.227573243086</v>
      </c>
      <c r="I51" s="160">
        <f t="shared" si="0"/>
        <v>0</v>
      </c>
      <c r="J51" s="160"/>
      <c r="K51" s="330"/>
      <c r="L51" s="162">
        <f t="shared" si="1"/>
        <v>0</v>
      </c>
      <c r="M51" s="330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56933.33333333343</v>
      </c>
      <c r="E52" s="164">
        <f t="shared" si="4"/>
        <v>5422.2222222222226</v>
      </c>
      <c r="F52" s="163">
        <f t="shared" si="5"/>
        <v>51511.111111111211</v>
      </c>
      <c r="G52" s="165">
        <f t="shared" si="6"/>
        <v>12760.408904968463</v>
      </c>
      <c r="H52" s="147">
        <f t="shared" si="7"/>
        <v>12760.408904968463</v>
      </c>
      <c r="I52" s="160">
        <f t="shared" si="0"/>
        <v>0</v>
      </c>
      <c r="J52" s="160"/>
      <c r="K52" s="330"/>
      <c r="L52" s="162">
        <f t="shared" si="1"/>
        <v>0</v>
      </c>
      <c r="M52" s="330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51511.111111111211</v>
      </c>
      <c r="E53" s="164">
        <f t="shared" si="4"/>
        <v>5422.2222222222226</v>
      </c>
      <c r="F53" s="163">
        <f t="shared" si="5"/>
        <v>46088.888888888992</v>
      </c>
      <c r="G53" s="165">
        <f t="shared" si="6"/>
        <v>12026.590236693841</v>
      </c>
      <c r="H53" s="147">
        <f t="shared" si="7"/>
        <v>12026.590236693841</v>
      </c>
      <c r="I53" s="160">
        <f t="shared" si="0"/>
        <v>0</v>
      </c>
      <c r="J53" s="160"/>
      <c r="K53" s="330"/>
      <c r="L53" s="162">
        <f t="shared" si="1"/>
        <v>0</v>
      </c>
      <c r="M53" s="330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46088.888888888992</v>
      </c>
      <c r="E54" s="164">
        <f t="shared" si="4"/>
        <v>5422.2222222222226</v>
      </c>
      <c r="F54" s="163">
        <f t="shared" si="5"/>
        <v>40666.666666666773</v>
      </c>
      <c r="G54" s="165">
        <f t="shared" si="6"/>
        <v>11292.771568419219</v>
      </c>
      <c r="H54" s="147">
        <f t="shared" si="7"/>
        <v>11292.771568419219</v>
      </c>
      <c r="I54" s="160">
        <f t="shared" si="0"/>
        <v>0</v>
      </c>
      <c r="J54" s="160"/>
      <c r="K54" s="330"/>
      <c r="L54" s="162">
        <f t="shared" si="1"/>
        <v>0</v>
      </c>
      <c r="M54" s="330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40666.666666666773</v>
      </c>
      <c r="E55" s="164">
        <f t="shared" si="4"/>
        <v>5422.2222222222226</v>
      </c>
      <c r="F55" s="163">
        <f t="shared" si="5"/>
        <v>35244.444444444554</v>
      </c>
      <c r="G55" s="165">
        <f t="shared" si="6"/>
        <v>10558.952900144595</v>
      </c>
      <c r="H55" s="147">
        <f t="shared" si="7"/>
        <v>10558.952900144595</v>
      </c>
      <c r="I55" s="160">
        <f t="shared" si="0"/>
        <v>0</v>
      </c>
      <c r="J55" s="160"/>
      <c r="K55" s="330"/>
      <c r="L55" s="162">
        <f t="shared" si="1"/>
        <v>0</v>
      </c>
      <c r="M55" s="330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35244.444444444554</v>
      </c>
      <c r="E56" s="164">
        <f t="shared" si="4"/>
        <v>5422.2222222222226</v>
      </c>
      <c r="F56" s="163">
        <f t="shared" si="5"/>
        <v>29822.222222222332</v>
      </c>
      <c r="G56" s="165">
        <f t="shared" si="6"/>
        <v>9825.1342318699753</v>
      </c>
      <c r="H56" s="147">
        <f t="shared" si="7"/>
        <v>9825.1342318699753</v>
      </c>
      <c r="I56" s="160">
        <f t="shared" si="0"/>
        <v>0</v>
      </c>
      <c r="J56" s="160"/>
      <c r="K56" s="330"/>
      <c r="L56" s="162">
        <f t="shared" si="1"/>
        <v>0</v>
      </c>
      <c r="M56" s="330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29822.222222222332</v>
      </c>
      <c r="E57" s="164">
        <f t="shared" si="4"/>
        <v>5422.2222222222226</v>
      </c>
      <c r="F57" s="163">
        <f t="shared" si="5"/>
        <v>24400.000000000109</v>
      </c>
      <c r="G57" s="165">
        <f t="shared" si="6"/>
        <v>9091.3155635953517</v>
      </c>
      <c r="H57" s="147">
        <f t="shared" si="7"/>
        <v>9091.3155635953517</v>
      </c>
      <c r="I57" s="160">
        <f t="shared" si="0"/>
        <v>0</v>
      </c>
      <c r="J57" s="160"/>
      <c r="K57" s="330"/>
      <c r="L57" s="162">
        <f t="shared" si="1"/>
        <v>0</v>
      </c>
      <c r="M57" s="330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24400.000000000109</v>
      </c>
      <c r="E58" s="164">
        <f t="shared" si="4"/>
        <v>5422.2222222222226</v>
      </c>
      <c r="F58" s="163">
        <f t="shared" si="5"/>
        <v>18977.777777777887</v>
      </c>
      <c r="G58" s="165">
        <f t="shared" si="6"/>
        <v>8357.4968953207281</v>
      </c>
      <c r="H58" s="147">
        <f t="shared" si="7"/>
        <v>8357.4968953207281</v>
      </c>
      <c r="I58" s="160">
        <f t="shared" si="0"/>
        <v>0</v>
      </c>
      <c r="J58" s="160"/>
      <c r="K58" s="330"/>
      <c r="L58" s="162">
        <f t="shared" si="1"/>
        <v>0</v>
      </c>
      <c r="M58" s="330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18977.777777777887</v>
      </c>
      <c r="E59" s="164">
        <f t="shared" si="4"/>
        <v>5422.2222222222226</v>
      </c>
      <c r="F59" s="163">
        <f t="shared" si="5"/>
        <v>13555.555555555664</v>
      </c>
      <c r="G59" s="165">
        <f t="shared" si="6"/>
        <v>7623.6782270461063</v>
      </c>
      <c r="H59" s="147">
        <f t="shared" si="7"/>
        <v>7623.6782270461063</v>
      </c>
      <c r="I59" s="160">
        <f t="shared" si="0"/>
        <v>0</v>
      </c>
      <c r="J59" s="160"/>
      <c r="K59" s="330"/>
      <c r="L59" s="162">
        <f t="shared" si="1"/>
        <v>0</v>
      </c>
      <c r="M59" s="330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13555.555555555664</v>
      </c>
      <c r="E60" s="164">
        <f t="shared" si="4"/>
        <v>5422.2222222222226</v>
      </c>
      <c r="F60" s="163">
        <f t="shared" si="5"/>
        <v>8133.3333333334413</v>
      </c>
      <c r="G60" s="165">
        <f t="shared" si="6"/>
        <v>6889.8595587714826</v>
      </c>
      <c r="H60" s="147">
        <f t="shared" si="7"/>
        <v>6889.8595587714826</v>
      </c>
      <c r="I60" s="160">
        <f t="shared" si="0"/>
        <v>0</v>
      </c>
      <c r="J60" s="160"/>
      <c r="K60" s="330"/>
      <c r="L60" s="162">
        <f t="shared" si="1"/>
        <v>0</v>
      </c>
      <c r="M60" s="330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8133.3333333334413</v>
      </c>
      <c r="E61" s="164">
        <f t="shared" si="4"/>
        <v>5422.2222222222226</v>
      </c>
      <c r="F61" s="163">
        <f t="shared" si="5"/>
        <v>2711.1111111112186</v>
      </c>
      <c r="G61" s="165">
        <f t="shared" si="6"/>
        <v>6156.0408904968599</v>
      </c>
      <c r="H61" s="147">
        <f t="shared" si="7"/>
        <v>6156.0408904968599</v>
      </c>
      <c r="I61" s="160">
        <f t="shared" si="0"/>
        <v>0</v>
      </c>
      <c r="J61" s="160"/>
      <c r="K61" s="330"/>
      <c r="L61" s="162">
        <f t="shared" si="1"/>
        <v>0</v>
      </c>
      <c r="M61" s="330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2711.1111111112186</v>
      </c>
      <c r="E62" s="164">
        <f t="shared" si="4"/>
        <v>2711.1111111112186</v>
      </c>
      <c r="F62" s="163">
        <f t="shared" si="5"/>
        <v>0</v>
      </c>
      <c r="G62" s="165">
        <f t="shared" si="6"/>
        <v>2894.5657781798818</v>
      </c>
      <c r="H62" s="147">
        <f t="shared" si="7"/>
        <v>2894.5657781798818</v>
      </c>
      <c r="I62" s="160">
        <f t="shared" si="0"/>
        <v>0</v>
      </c>
      <c r="J62" s="160"/>
      <c r="K62" s="330"/>
      <c r="L62" s="162">
        <f t="shared" si="1"/>
        <v>0</v>
      </c>
      <c r="M62" s="330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0"/>
      <c r="L63" s="162">
        <f t="shared" si="1"/>
        <v>0</v>
      </c>
      <c r="M63" s="330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0"/>
      <c r="L64" s="162">
        <f t="shared" si="1"/>
        <v>0</v>
      </c>
      <c r="M64" s="330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0"/>
      <c r="L65" s="162">
        <f t="shared" si="1"/>
        <v>0</v>
      </c>
      <c r="M65" s="330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0"/>
      <c r="L66" s="162">
        <f t="shared" si="1"/>
        <v>0</v>
      </c>
      <c r="M66" s="330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0"/>
      <c r="L67" s="162">
        <f t="shared" si="1"/>
        <v>0</v>
      </c>
      <c r="M67" s="330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0"/>
      <c r="L68" s="162">
        <f t="shared" si="1"/>
        <v>0</v>
      </c>
      <c r="M68" s="330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0"/>
      <c r="L69" s="162">
        <f t="shared" si="1"/>
        <v>0</v>
      </c>
      <c r="M69" s="330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0"/>
      <c r="L70" s="162">
        <f t="shared" si="1"/>
        <v>0</v>
      </c>
      <c r="M70" s="330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0"/>
      <c r="L71" s="162">
        <f t="shared" si="1"/>
        <v>0</v>
      </c>
      <c r="M71" s="330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36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2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1"/>
      <c r="L72" s="173">
        <f t="shared" si="1"/>
        <v>0</v>
      </c>
      <c r="M72" s="331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77</v>
      </c>
      <c r="D73" s="115"/>
      <c r="E73" s="115">
        <f>SUM(E17:E72)</f>
        <v>244000</v>
      </c>
      <c r="F73" s="115"/>
      <c r="G73" s="115">
        <f>SUM(G17:G72)</f>
        <v>986991.40162805596</v>
      </c>
      <c r="H73" s="115">
        <f>SUM(H17:H72)</f>
        <v>986991.40162805596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22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19038.576480221469</v>
      </c>
      <c r="N87" s="202">
        <f>IF(J92&lt;D11,0,VLOOKUP(J92,C17:O72,11))</f>
        <v>19038.576480221469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12533.739152883993</v>
      </c>
      <c r="N88" s="204">
        <f>IF(J92&lt;D11,0,VLOOKUP(J92,C99:P154,7))</f>
        <v>12533.739152883993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Northeastern Station 138 kV Terminal Upgrades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-6504.8373273374764</v>
      </c>
      <c r="N89" s="207">
        <f>+N88-N87</f>
        <v>-6504.8373273374764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TP2015169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v>244000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2018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5674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0</v>
      </c>
      <c r="F99" s="163">
        <f>IF(D93=C99,+D92-E99,+D99-E99)</f>
        <v>244000</v>
      </c>
      <c r="G99" s="218">
        <f>+(F99+D99)/2</f>
        <v>122000</v>
      </c>
      <c r="H99" s="218">
        <f t="shared" ref="H99:H154" si="9">+J$94*G99+E99</f>
        <v>12533.739152883993</v>
      </c>
      <c r="I99" s="218">
        <f>+J$95*G99+E99</f>
        <v>12533.739152883993</v>
      </c>
      <c r="J99" s="162">
        <f t="shared" ref="J99:J130" si="10">+I99-H99</f>
        <v>0</v>
      </c>
      <c r="K99" s="162"/>
      <c r="L99" s="329"/>
      <c r="M99" s="161">
        <f t="shared" ref="M99:M130" si="11">IF(L99&lt;&gt;0,+H99-L99,0)</f>
        <v>0</v>
      </c>
      <c r="N99" s="329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244000</v>
      </c>
      <c r="E100" s="164">
        <f>IF(+J$96&lt;F99,J$96,D100)</f>
        <v>5674</v>
      </c>
      <c r="F100" s="163">
        <f>+D100-E100</f>
        <v>238326</v>
      </c>
      <c r="G100" s="163">
        <f>+(F100+D100)/2</f>
        <v>241163</v>
      </c>
      <c r="H100" s="328">
        <f t="shared" si="9"/>
        <v>30450.017502680021</v>
      </c>
      <c r="I100" s="339">
        <f t="shared" ref="I100:I154" si="14">+J$95*G100+E100</f>
        <v>30450.017502680021</v>
      </c>
      <c r="J100" s="162">
        <f t="shared" si="10"/>
        <v>0</v>
      </c>
      <c r="K100" s="162"/>
      <c r="L100" s="330"/>
      <c r="M100" s="162">
        <f t="shared" si="11"/>
        <v>0</v>
      </c>
      <c r="N100" s="330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238326</v>
      </c>
      <c r="E101" s="164">
        <f t="shared" ref="E101:E154" si="16">IF(+J$96&lt;F100,J$96,D101)</f>
        <v>5674</v>
      </c>
      <c r="F101" s="163">
        <f t="shared" ref="F101:F154" si="17">+D101-E101</f>
        <v>232652</v>
      </c>
      <c r="G101" s="163">
        <f t="shared" ref="G101:G154" si="18">+(F101+D101)/2</f>
        <v>235489</v>
      </c>
      <c r="H101" s="328">
        <f t="shared" si="9"/>
        <v>29867.095896504088</v>
      </c>
      <c r="I101" s="339">
        <f t="shared" si="14"/>
        <v>29867.095896504088</v>
      </c>
      <c r="J101" s="162">
        <f t="shared" si="10"/>
        <v>0</v>
      </c>
      <c r="K101" s="162"/>
      <c r="L101" s="330"/>
      <c r="M101" s="162">
        <f t="shared" si="11"/>
        <v>0</v>
      </c>
      <c r="N101" s="330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232652</v>
      </c>
      <c r="E102" s="164">
        <f t="shared" si="16"/>
        <v>5674</v>
      </c>
      <c r="F102" s="163">
        <f t="shared" si="17"/>
        <v>226978</v>
      </c>
      <c r="G102" s="163">
        <f t="shared" si="18"/>
        <v>229815</v>
      </c>
      <c r="H102" s="328">
        <f t="shared" si="9"/>
        <v>29284.174290328156</v>
      </c>
      <c r="I102" s="339">
        <f t="shared" si="14"/>
        <v>29284.174290328156</v>
      </c>
      <c r="J102" s="162">
        <f t="shared" si="10"/>
        <v>0</v>
      </c>
      <c r="K102" s="162"/>
      <c r="L102" s="330"/>
      <c r="M102" s="162">
        <f t="shared" si="11"/>
        <v>0</v>
      </c>
      <c r="N102" s="330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226978</v>
      </c>
      <c r="E103" s="164">
        <f t="shared" si="16"/>
        <v>5674</v>
      </c>
      <c r="F103" s="163">
        <f t="shared" si="17"/>
        <v>221304</v>
      </c>
      <c r="G103" s="163">
        <f t="shared" si="18"/>
        <v>224141</v>
      </c>
      <c r="H103" s="328">
        <f t="shared" si="9"/>
        <v>28701.252684152223</v>
      </c>
      <c r="I103" s="339">
        <f t="shared" si="14"/>
        <v>28701.252684152223</v>
      </c>
      <c r="J103" s="162">
        <f t="shared" si="10"/>
        <v>0</v>
      </c>
      <c r="K103" s="162"/>
      <c r="L103" s="330"/>
      <c r="M103" s="162">
        <f t="shared" si="11"/>
        <v>0</v>
      </c>
      <c r="N103" s="330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221304</v>
      </c>
      <c r="E104" s="164">
        <f t="shared" si="16"/>
        <v>5674</v>
      </c>
      <c r="F104" s="163">
        <f t="shared" si="17"/>
        <v>215630</v>
      </c>
      <c r="G104" s="163">
        <f t="shared" si="18"/>
        <v>218467</v>
      </c>
      <c r="H104" s="328">
        <f t="shared" si="9"/>
        <v>28118.331077976291</v>
      </c>
      <c r="I104" s="339">
        <f t="shared" si="14"/>
        <v>28118.331077976291</v>
      </c>
      <c r="J104" s="162">
        <f t="shared" si="10"/>
        <v>0</v>
      </c>
      <c r="K104" s="162"/>
      <c r="L104" s="330"/>
      <c r="M104" s="162">
        <f t="shared" si="11"/>
        <v>0</v>
      </c>
      <c r="N104" s="330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215630</v>
      </c>
      <c r="E105" s="164">
        <f t="shared" si="16"/>
        <v>5674</v>
      </c>
      <c r="F105" s="163">
        <f t="shared" si="17"/>
        <v>209956</v>
      </c>
      <c r="G105" s="163">
        <f t="shared" si="18"/>
        <v>212793</v>
      </c>
      <c r="H105" s="328">
        <f t="shared" si="9"/>
        <v>27535.409471800358</v>
      </c>
      <c r="I105" s="339">
        <f t="shared" si="14"/>
        <v>27535.409471800358</v>
      </c>
      <c r="J105" s="162">
        <f t="shared" si="10"/>
        <v>0</v>
      </c>
      <c r="K105" s="162"/>
      <c r="L105" s="330"/>
      <c r="M105" s="162">
        <f t="shared" si="11"/>
        <v>0</v>
      </c>
      <c r="N105" s="330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209956</v>
      </c>
      <c r="E106" s="164">
        <f t="shared" si="16"/>
        <v>5674</v>
      </c>
      <c r="F106" s="163">
        <f t="shared" si="17"/>
        <v>204282</v>
      </c>
      <c r="G106" s="163">
        <f t="shared" si="18"/>
        <v>207119</v>
      </c>
      <c r="H106" s="328">
        <f t="shared" si="9"/>
        <v>26952.487865624425</v>
      </c>
      <c r="I106" s="339">
        <f t="shared" si="14"/>
        <v>26952.487865624425</v>
      </c>
      <c r="J106" s="162">
        <f t="shared" si="10"/>
        <v>0</v>
      </c>
      <c r="K106" s="162"/>
      <c r="L106" s="330"/>
      <c r="M106" s="162">
        <f t="shared" si="11"/>
        <v>0</v>
      </c>
      <c r="N106" s="330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204282</v>
      </c>
      <c r="E107" s="164">
        <f t="shared" si="16"/>
        <v>5674</v>
      </c>
      <c r="F107" s="163">
        <f t="shared" si="17"/>
        <v>198608</v>
      </c>
      <c r="G107" s="163">
        <f t="shared" si="18"/>
        <v>201445</v>
      </c>
      <c r="H107" s="328">
        <f t="shared" si="9"/>
        <v>26369.566259448493</v>
      </c>
      <c r="I107" s="339">
        <f t="shared" si="14"/>
        <v>26369.566259448493</v>
      </c>
      <c r="J107" s="162">
        <f t="shared" si="10"/>
        <v>0</v>
      </c>
      <c r="K107" s="162"/>
      <c r="L107" s="330"/>
      <c r="M107" s="162">
        <f t="shared" si="11"/>
        <v>0</v>
      </c>
      <c r="N107" s="330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198608</v>
      </c>
      <c r="E108" s="164">
        <f t="shared" si="16"/>
        <v>5674</v>
      </c>
      <c r="F108" s="163">
        <f t="shared" si="17"/>
        <v>192934</v>
      </c>
      <c r="G108" s="163">
        <f t="shared" si="18"/>
        <v>195771</v>
      </c>
      <c r="H108" s="328">
        <f t="shared" si="9"/>
        <v>25786.64465327256</v>
      </c>
      <c r="I108" s="339">
        <f t="shared" si="14"/>
        <v>25786.64465327256</v>
      </c>
      <c r="J108" s="162">
        <f t="shared" si="10"/>
        <v>0</v>
      </c>
      <c r="K108" s="162"/>
      <c r="L108" s="330"/>
      <c r="M108" s="162">
        <f t="shared" si="11"/>
        <v>0</v>
      </c>
      <c r="N108" s="330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192934</v>
      </c>
      <c r="E109" s="164">
        <f t="shared" si="16"/>
        <v>5674</v>
      </c>
      <c r="F109" s="163">
        <f t="shared" si="17"/>
        <v>187260</v>
      </c>
      <c r="G109" s="163">
        <f t="shared" si="18"/>
        <v>190097</v>
      </c>
      <c r="H109" s="328">
        <f t="shared" si="9"/>
        <v>25203.723047096628</v>
      </c>
      <c r="I109" s="339">
        <f t="shared" si="14"/>
        <v>25203.723047096628</v>
      </c>
      <c r="J109" s="162">
        <f t="shared" si="10"/>
        <v>0</v>
      </c>
      <c r="K109" s="162"/>
      <c r="L109" s="330"/>
      <c r="M109" s="162">
        <f t="shared" si="11"/>
        <v>0</v>
      </c>
      <c r="N109" s="330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187260</v>
      </c>
      <c r="E110" s="164">
        <f t="shared" si="16"/>
        <v>5674</v>
      </c>
      <c r="F110" s="163">
        <f t="shared" si="17"/>
        <v>181586</v>
      </c>
      <c r="G110" s="163">
        <f t="shared" si="18"/>
        <v>184423</v>
      </c>
      <c r="H110" s="328">
        <f t="shared" si="9"/>
        <v>24620.801440920695</v>
      </c>
      <c r="I110" s="339">
        <f t="shared" si="14"/>
        <v>24620.801440920695</v>
      </c>
      <c r="J110" s="162">
        <f t="shared" si="10"/>
        <v>0</v>
      </c>
      <c r="K110" s="162"/>
      <c r="L110" s="330"/>
      <c r="M110" s="162">
        <f t="shared" si="11"/>
        <v>0</v>
      </c>
      <c r="N110" s="330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181586</v>
      </c>
      <c r="E111" s="164">
        <f t="shared" si="16"/>
        <v>5674</v>
      </c>
      <c r="F111" s="163">
        <f t="shared" si="17"/>
        <v>175912</v>
      </c>
      <c r="G111" s="163">
        <f t="shared" si="18"/>
        <v>178749</v>
      </c>
      <c r="H111" s="328">
        <f t="shared" si="9"/>
        <v>24037.879834744763</v>
      </c>
      <c r="I111" s="339">
        <f t="shared" si="14"/>
        <v>24037.879834744763</v>
      </c>
      <c r="J111" s="162">
        <f t="shared" si="10"/>
        <v>0</v>
      </c>
      <c r="K111" s="162"/>
      <c r="L111" s="330"/>
      <c r="M111" s="162">
        <f t="shared" si="11"/>
        <v>0</v>
      </c>
      <c r="N111" s="330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175912</v>
      </c>
      <c r="E112" s="164">
        <f t="shared" si="16"/>
        <v>5674</v>
      </c>
      <c r="F112" s="163">
        <f t="shared" si="17"/>
        <v>170238</v>
      </c>
      <c r="G112" s="163">
        <f t="shared" si="18"/>
        <v>173075</v>
      </c>
      <c r="H112" s="328">
        <f t="shared" si="9"/>
        <v>23454.95822856883</v>
      </c>
      <c r="I112" s="339">
        <f t="shared" si="14"/>
        <v>23454.95822856883</v>
      </c>
      <c r="J112" s="162">
        <f t="shared" si="10"/>
        <v>0</v>
      </c>
      <c r="K112" s="162"/>
      <c r="L112" s="330"/>
      <c r="M112" s="162">
        <f t="shared" si="11"/>
        <v>0</v>
      </c>
      <c r="N112" s="330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170238</v>
      </c>
      <c r="E113" s="164">
        <f t="shared" si="16"/>
        <v>5674</v>
      </c>
      <c r="F113" s="163">
        <f t="shared" si="17"/>
        <v>164564</v>
      </c>
      <c r="G113" s="163">
        <f t="shared" si="18"/>
        <v>167401</v>
      </c>
      <c r="H113" s="328">
        <f t="shared" si="9"/>
        <v>22872.036622392898</v>
      </c>
      <c r="I113" s="339">
        <f t="shared" si="14"/>
        <v>22872.036622392898</v>
      </c>
      <c r="J113" s="162">
        <f t="shared" si="10"/>
        <v>0</v>
      </c>
      <c r="K113" s="162"/>
      <c r="L113" s="330"/>
      <c r="M113" s="162">
        <f t="shared" si="11"/>
        <v>0</v>
      </c>
      <c r="N113" s="330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164564</v>
      </c>
      <c r="E114" s="164">
        <f t="shared" si="16"/>
        <v>5674</v>
      </c>
      <c r="F114" s="163">
        <f t="shared" si="17"/>
        <v>158890</v>
      </c>
      <c r="G114" s="163">
        <f t="shared" si="18"/>
        <v>161727</v>
      </c>
      <c r="H114" s="328">
        <f t="shared" si="9"/>
        <v>22289.115016216965</v>
      </c>
      <c r="I114" s="339">
        <f t="shared" si="14"/>
        <v>22289.115016216965</v>
      </c>
      <c r="J114" s="162">
        <f t="shared" si="10"/>
        <v>0</v>
      </c>
      <c r="K114" s="162"/>
      <c r="L114" s="330"/>
      <c r="M114" s="162">
        <f t="shared" si="11"/>
        <v>0</v>
      </c>
      <c r="N114" s="330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158890</v>
      </c>
      <c r="E115" s="164">
        <f t="shared" si="16"/>
        <v>5674</v>
      </c>
      <c r="F115" s="163">
        <f t="shared" si="17"/>
        <v>153216</v>
      </c>
      <c r="G115" s="163">
        <f t="shared" si="18"/>
        <v>156053</v>
      </c>
      <c r="H115" s="328">
        <f t="shared" si="9"/>
        <v>21706.193410041029</v>
      </c>
      <c r="I115" s="339">
        <f t="shared" si="14"/>
        <v>21706.193410041029</v>
      </c>
      <c r="J115" s="162">
        <f t="shared" si="10"/>
        <v>0</v>
      </c>
      <c r="K115" s="162"/>
      <c r="L115" s="330"/>
      <c r="M115" s="162">
        <f t="shared" si="11"/>
        <v>0</v>
      </c>
      <c r="N115" s="330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153216</v>
      </c>
      <c r="E116" s="164">
        <f t="shared" si="16"/>
        <v>5674</v>
      </c>
      <c r="F116" s="163">
        <f t="shared" si="17"/>
        <v>147542</v>
      </c>
      <c r="G116" s="163">
        <f t="shared" si="18"/>
        <v>150379</v>
      </c>
      <c r="H116" s="328">
        <f t="shared" si="9"/>
        <v>21123.2718038651</v>
      </c>
      <c r="I116" s="339">
        <f t="shared" si="14"/>
        <v>21123.2718038651</v>
      </c>
      <c r="J116" s="162">
        <f t="shared" si="10"/>
        <v>0</v>
      </c>
      <c r="K116" s="162"/>
      <c r="L116" s="330"/>
      <c r="M116" s="162">
        <f t="shared" si="11"/>
        <v>0</v>
      </c>
      <c r="N116" s="330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147542</v>
      </c>
      <c r="E117" s="164">
        <f t="shared" si="16"/>
        <v>5674</v>
      </c>
      <c r="F117" s="163">
        <f t="shared" si="17"/>
        <v>141868</v>
      </c>
      <c r="G117" s="163">
        <f t="shared" si="18"/>
        <v>144705</v>
      </c>
      <c r="H117" s="328">
        <f t="shared" si="9"/>
        <v>20540.350197689164</v>
      </c>
      <c r="I117" s="339">
        <f t="shared" si="14"/>
        <v>20540.350197689164</v>
      </c>
      <c r="J117" s="162">
        <f t="shared" si="10"/>
        <v>0</v>
      </c>
      <c r="K117" s="162"/>
      <c r="L117" s="330"/>
      <c r="M117" s="162">
        <f t="shared" si="11"/>
        <v>0</v>
      </c>
      <c r="N117" s="330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141868</v>
      </c>
      <c r="E118" s="164">
        <f t="shared" si="16"/>
        <v>5674</v>
      </c>
      <c r="F118" s="163">
        <f t="shared" si="17"/>
        <v>136194</v>
      </c>
      <c r="G118" s="163">
        <f t="shared" si="18"/>
        <v>139031</v>
      </c>
      <c r="H118" s="328">
        <f t="shared" si="9"/>
        <v>19957.428591513235</v>
      </c>
      <c r="I118" s="339">
        <f t="shared" si="14"/>
        <v>19957.428591513235</v>
      </c>
      <c r="J118" s="162">
        <f t="shared" si="10"/>
        <v>0</v>
      </c>
      <c r="K118" s="162"/>
      <c r="L118" s="330"/>
      <c r="M118" s="162">
        <f t="shared" si="11"/>
        <v>0</v>
      </c>
      <c r="N118" s="330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136194</v>
      </c>
      <c r="E119" s="164">
        <f t="shared" si="16"/>
        <v>5674</v>
      </c>
      <c r="F119" s="163">
        <f t="shared" si="17"/>
        <v>130520</v>
      </c>
      <c r="G119" s="163">
        <f t="shared" si="18"/>
        <v>133357</v>
      </c>
      <c r="H119" s="328">
        <f t="shared" si="9"/>
        <v>19374.506985337299</v>
      </c>
      <c r="I119" s="339">
        <f t="shared" si="14"/>
        <v>19374.506985337299</v>
      </c>
      <c r="J119" s="162">
        <f t="shared" si="10"/>
        <v>0</v>
      </c>
      <c r="K119" s="162"/>
      <c r="L119" s="330"/>
      <c r="M119" s="162">
        <f t="shared" si="11"/>
        <v>0</v>
      </c>
      <c r="N119" s="330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130520</v>
      </c>
      <c r="E120" s="164">
        <f t="shared" si="16"/>
        <v>5674</v>
      </c>
      <c r="F120" s="163">
        <f t="shared" si="17"/>
        <v>124846</v>
      </c>
      <c r="G120" s="163">
        <f t="shared" si="18"/>
        <v>127683</v>
      </c>
      <c r="H120" s="328">
        <f t="shared" si="9"/>
        <v>18791.58537916137</v>
      </c>
      <c r="I120" s="339">
        <f t="shared" si="14"/>
        <v>18791.58537916137</v>
      </c>
      <c r="J120" s="162">
        <f t="shared" si="10"/>
        <v>0</v>
      </c>
      <c r="K120" s="162"/>
      <c r="L120" s="330"/>
      <c r="M120" s="162">
        <f t="shared" si="11"/>
        <v>0</v>
      </c>
      <c r="N120" s="330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124846</v>
      </c>
      <c r="E121" s="164">
        <f t="shared" si="16"/>
        <v>5674</v>
      </c>
      <c r="F121" s="163">
        <f t="shared" si="17"/>
        <v>119172</v>
      </c>
      <c r="G121" s="163">
        <f t="shared" si="18"/>
        <v>122009</v>
      </c>
      <c r="H121" s="328">
        <f t="shared" si="9"/>
        <v>18208.663772985434</v>
      </c>
      <c r="I121" s="339">
        <f t="shared" si="14"/>
        <v>18208.663772985434</v>
      </c>
      <c r="J121" s="162">
        <f t="shared" si="10"/>
        <v>0</v>
      </c>
      <c r="K121" s="162"/>
      <c r="L121" s="330"/>
      <c r="M121" s="162">
        <f t="shared" si="11"/>
        <v>0</v>
      </c>
      <c r="N121" s="330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119172</v>
      </c>
      <c r="E122" s="164">
        <f t="shared" si="16"/>
        <v>5674</v>
      </c>
      <c r="F122" s="163">
        <f t="shared" si="17"/>
        <v>113498</v>
      </c>
      <c r="G122" s="163">
        <f t="shared" si="18"/>
        <v>116335</v>
      </c>
      <c r="H122" s="328">
        <f t="shared" si="9"/>
        <v>17625.742166809505</v>
      </c>
      <c r="I122" s="339">
        <f t="shared" si="14"/>
        <v>17625.742166809505</v>
      </c>
      <c r="J122" s="162">
        <f t="shared" si="10"/>
        <v>0</v>
      </c>
      <c r="K122" s="162"/>
      <c r="L122" s="330"/>
      <c r="M122" s="162">
        <f t="shared" si="11"/>
        <v>0</v>
      </c>
      <c r="N122" s="330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113498</v>
      </c>
      <c r="E123" s="164">
        <f t="shared" si="16"/>
        <v>5674</v>
      </c>
      <c r="F123" s="163">
        <f t="shared" si="17"/>
        <v>107824</v>
      </c>
      <c r="G123" s="163">
        <f t="shared" si="18"/>
        <v>110661</v>
      </c>
      <c r="H123" s="328">
        <f t="shared" si="9"/>
        <v>17042.820560633569</v>
      </c>
      <c r="I123" s="339">
        <f t="shared" si="14"/>
        <v>17042.820560633569</v>
      </c>
      <c r="J123" s="162">
        <f t="shared" si="10"/>
        <v>0</v>
      </c>
      <c r="K123" s="162"/>
      <c r="L123" s="330"/>
      <c r="M123" s="162">
        <f t="shared" si="11"/>
        <v>0</v>
      </c>
      <c r="N123" s="330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107824</v>
      </c>
      <c r="E124" s="164">
        <f t="shared" si="16"/>
        <v>5674</v>
      </c>
      <c r="F124" s="163">
        <f t="shared" si="17"/>
        <v>102150</v>
      </c>
      <c r="G124" s="163">
        <f t="shared" si="18"/>
        <v>104987</v>
      </c>
      <c r="H124" s="328">
        <f t="shared" si="9"/>
        <v>16459.89895445764</v>
      </c>
      <c r="I124" s="339">
        <f t="shared" si="14"/>
        <v>16459.89895445764</v>
      </c>
      <c r="J124" s="162">
        <f t="shared" si="10"/>
        <v>0</v>
      </c>
      <c r="K124" s="162"/>
      <c r="L124" s="330"/>
      <c r="M124" s="162">
        <f t="shared" si="11"/>
        <v>0</v>
      </c>
      <c r="N124" s="330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102150</v>
      </c>
      <c r="E125" s="164">
        <f t="shared" si="16"/>
        <v>5674</v>
      </c>
      <c r="F125" s="163">
        <f t="shared" si="17"/>
        <v>96476</v>
      </c>
      <c r="G125" s="163">
        <f t="shared" si="18"/>
        <v>99313</v>
      </c>
      <c r="H125" s="328">
        <f t="shared" si="9"/>
        <v>15876.977348281705</v>
      </c>
      <c r="I125" s="339">
        <f t="shared" si="14"/>
        <v>15876.977348281705</v>
      </c>
      <c r="J125" s="162">
        <f t="shared" si="10"/>
        <v>0</v>
      </c>
      <c r="K125" s="162"/>
      <c r="L125" s="330"/>
      <c r="M125" s="162">
        <f t="shared" si="11"/>
        <v>0</v>
      </c>
      <c r="N125" s="330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96476</v>
      </c>
      <c r="E126" s="164">
        <f t="shared" si="16"/>
        <v>5674</v>
      </c>
      <c r="F126" s="163">
        <f t="shared" si="17"/>
        <v>90802</v>
      </c>
      <c r="G126" s="163">
        <f t="shared" si="18"/>
        <v>93639</v>
      </c>
      <c r="H126" s="328">
        <f t="shared" si="9"/>
        <v>15294.055742105773</v>
      </c>
      <c r="I126" s="339">
        <f t="shared" si="14"/>
        <v>15294.055742105773</v>
      </c>
      <c r="J126" s="162">
        <f t="shared" si="10"/>
        <v>0</v>
      </c>
      <c r="K126" s="162"/>
      <c r="L126" s="330"/>
      <c r="M126" s="162">
        <f t="shared" si="11"/>
        <v>0</v>
      </c>
      <c r="N126" s="330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90802</v>
      </c>
      <c r="E127" s="164">
        <f t="shared" si="16"/>
        <v>5674</v>
      </c>
      <c r="F127" s="163">
        <f t="shared" si="17"/>
        <v>85128</v>
      </c>
      <c r="G127" s="163">
        <f t="shared" si="18"/>
        <v>87965</v>
      </c>
      <c r="H127" s="328">
        <f t="shared" si="9"/>
        <v>14711.13413592984</v>
      </c>
      <c r="I127" s="339">
        <f t="shared" si="14"/>
        <v>14711.13413592984</v>
      </c>
      <c r="J127" s="162">
        <f t="shared" si="10"/>
        <v>0</v>
      </c>
      <c r="K127" s="162"/>
      <c r="L127" s="330"/>
      <c r="M127" s="162">
        <f t="shared" si="11"/>
        <v>0</v>
      </c>
      <c r="N127" s="330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85128</v>
      </c>
      <c r="E128" s="164">
        <f t="shared" si="16"/>
        <v>5674</v>
      </c>
      <c r="F128" s="163">
        <f t="shared" si="17"/>
        <v>79454</v>
      </c>
      <c r="G128" s="163">
        <f t="shared" si="18"/>
        <v>82291</v>
      </c>
      <c r="H128" s="328">
        <f t="shared" si="9"/>
        <v>14128.212529753908</v>
      </c>
      <c r="I128" s="339">
        <f t="shared" si="14"/>
        <v>14128.212529753908</v>
      </c>
      <c r="J128" s="162">
        <f t="shared" si="10"/>
        <v>0</v>
      </c>
      <c r="K128" s="162"/>
      <c r="L128" s="330"/>
      <c r="M128" s="162">
        <f t="shared" si="11"/>
        <v>0</v>
      </c>
      <c r="N128" s="330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79454</v>
      </c>
      <c r="E129" s="164">
        <f t="shared" si="16"/>
        <v>5674</v>
      </c>
      <c r="F129" s="163">
        <f t="shared" si="17"/>
        <v>73780</v>
      </c>
      <c r="G129" s="163">
        <f t="shared" si="18"/>
        <v>76617</v>
      </c>
      <c r="H129" s="328">
        <f t="shared" si="9"/>
        <v>13545.290923577973</v>
      </c>
      <c r="I129" s="339">
        <f t="shared" si="14"/>
        <v>13545.290923577973</v>
      </c>
      <c r="J129" s="162">
        <f t="shared" si="10"/>
        <v>0</v>
      </c>
      <c r="K129" s="162"/>
      <c r="L129" s="330"/>
      <c r="M129" s="162">
        <f t="shared" si="11"/>
        <v>0</v>
      </c>
      <c r="N129" s="330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73780</v>
      </c>
      <c r="E130" s="164">
        <f t="shared" si="16"/>
        <v>5674</v>
      </c>
      <c r="F130" s="163">
        <f t="shared" si="17"/>
        <v>68106</v>
      </c>
      <c r="G130" s="163">
        <f t="shared" si="18"/>
        <v>70943</v>
      </c>
      <c r="H130" s="328">
        <f t="shared" si="9"/>
        <v>12962.369317402041</v>
      </c>
      <c r="I130" s="339">
        <f t="shared" si="14"/>
        <v>12962.369317402041</v>
      </c>
      <c r="J130" s="162">
        <f t="shared" si="10"/>
        <v>0</v>
      </c>
      <c r="K130" s="162"/>
      <c r="L130" s="330"/>
      <c r="M130" s="162">
        <f t="shared" si="11"/>
        <v>0</v>
      </c>
      <c r="N130" s="330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68106</v>
      </c>
      <c r="E131" s="164">
        <f t="shared" si="16"/>
        <v>5674</v>
      </c>
      <c r="F131" s="163">
        <f t="shared" si="17"/>
        <v>62432</v>
      </c>
      <c r="G131" s="163">
        <f t="shared" si="18"/>
        <v>65269</v>
      </c>
      <c r="H131" s="328">
        <f t="shared" si="9"/>
        <v>12379.447711226108</v>
      </c>
      <c r="I131" s="339">
        <f t="shared" si="14"/>
        <v>12379.447711226108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62432</v>
      </c>
      <c r="E132" s="164">
        <f t="shared" si="16"/>
        <v>5674</v>
      </c>
      <c r="F132" s="163">
        <f t="shared" si="17"/>
        <v>56758</v>
      </c>
      <c r="G132" s="163">
        <f t="shared" si="18"/>
        <v>59595</v>
      </c>
      <c r="H132" s="328">
        <f t="shared" si="9"/>
        <v>11796.526105050176</v>
      </c>
      <c r="I132" s="339">
        <f t="shared" si="14"/>
        <v>11796.526105050176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56758</v>
      </c>
      <c r="E133" s="164">
        <f t="shared" si="16"/>
        <v>5674</v>
      </c>
      <c r="F133" s="163">
        <f t="shared" si="17"/>
        <v>51084</v>
      </c>
      <c r="G133" s="163">
        <f t="shared" si="18"/>
        <v>53921</v>
      </c>
      <c r="H133" s="328">
        <f t="shared" si="9"/>
        <v>11213.604498874243</v>
      </c>
      <c r="I133" s="339">
        <f t="shared" si="14"/>
        <v>11213.604498874243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51084</v>
      </c>
      <c r="E134" s="164">
        <f t="shared" si="16"/>
        <v>5674</v>
      </c>
      <c r="F134" s="163">
        <f t="shared" si="17"/>
        <v>45410</v>
      </c>
      <c r="G134" s="163">
        <f t="shared" si="18"/>
        <v>48247</v>
      </c>
      <c r="H134" s="328">
        <f t="shared" si="9"/>
        <v>10630.682892698311</v>
      </c>
      <c r="I134" s="339">
        <f t="shared" si="14"/>
        <v>10630.682892698311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45410</v>
      </c>
      <c r="E135" s="164">
        <f t="shared" si="16"/>
        <v>5674</v>
      </c>
      <c r="F135" s="163">
        <f t="shared" si="17"/>
        <v>39736</v>
      </c>
      <c r="G135" s="163">
        <f t="shared" si="18"/>
        <v>42573</v>
      </c>
      <c r="H135" s="328">
        <f t="shared" si="9"/>
        <v>10047.761286522378</v>
      </c>
      <c r="I135" s="339">
        <f t="shared" si="14"/>
        <v>10047.761286522378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39736</v>
      </c>
      <c r="E136" s="164">
        <f t="shared" si="16"/>
        <v>5674</v>
      </c>
      <c r="F136" s="163">
        <f t="shared" si="17"/>
        <v>34062</v>
      </c>
      <c r="G136" s="163">
        <f t="shared" si="18"/>
        <v>36899</v>
      </c>
      <c r="H136" s="328">
        <f t="shared" si="9"/>
        <v>9464.8396803464457</v>
      </c>
      <c r="I136" s="339">
        <f t="shared" si="14"/>
        <v>9464.8396803464457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34062</v>
      </c>
      <c r="E137" s="164">
        <f t="shared" si="16"/>
        <v>5674</v>
      </c>
      <c r="F137" s="163">
        <f t="shared" si="17"/>
        <v>28388</v>
      </c>
      <c r="G137" s="163">
        <f t="shared" si="18"/>
        <v>31225</v>
      </c>
      <c r="H137" s="328">
        <f t="shared" si="9"/>
        <v>8881.9180741705131</v>
      </c>
      <c r="I137" s="339">
        <f t="shared" si="14"/>
        <v>8881.9180741705131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28388</v>
      </c>
      <c r="E138" s="164">
        <f t="shared" si="16"/>
        <v>5674</v>
      </c>
      <c r="F138" s="163">
        <f t="shared" si="17"/>
        <v>22714</v>
      </c>
      <c r="G138" s="163">
        <f t="shared" si="18"/>
        <v>25551</v>
      </c>
      <c r="H138" s="328">
        <f t="shared" si="9"/>
        <v>8298.9964679945806</v>
      </c>
      <c r="I138" s="339">
        <f t="shared" si="14"/>
        <v>8298.9964679945806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22714</v>
      </c>
      <c r="E139" s="164">
        <f t="shared" si="16"/>
        <v>5674</v>
      </c>
      <c r="F139" s="163">
        <f t="shared" si="17"/>
        <v>17040</v>
      </c>
      <c r="G139" s="163">
        <f t="shared" si="18"/>
        <v>19877</v>
      </c>
      <c r="H139" s="328">
        <f t="shared" si="9"/>
        <v>7716.074861818649</v>
      </c>
      <c r="I139" s="339">
        <f t="shared" si="14"/>
        <v>7716.074861818649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17040</v>
      </c>
      <c r="E140" s="164">
        <f t="shared" si="16"/>
        <v>5674</v>
      </c>
      <c r="F140" s="163">
        <f t="shared" si="17"/>
        <v>11366</v>
      </c>
      <c r="G140" s="163">
        <f t="shared" si="18"/>
        <v>14203</v>
      </c>
      <c r="H140" s="328">
        <f t="shared" si="9"/>
        <v>7133.1532556427155</v>
      </c>
      <c r="I140" s="339">
        <f t="shared" si="14"/>
        <v>7133.1532556427155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11366</v>
      </c>
      <c r="E141" s="164">
        <f t="shared" si="16"/>
        <v>5674</v>
      </c>
      <c r="F141" s="163">
        <f t="shared" si="17"/>
        <v>5692</v>
      </c>
      <c r="G141" s="163">
        <f t="shared" si="18"/>
        <v>8529</v>
      </c>
      <c r="H141" s="328">
        <f t="shared" si="9"/>
        <v>6550.231649466783</v>
      </c>
      <c r="I141" s="339">
        <f t="shared" si="14"/>
        <v>6550.231649466783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5692</v>
      </c>
      <c r="E142" s="164">
        <f t="shared" si="16"/>
        <v>5674</v>
      </c>
      <c r="F142" s="163">
        <f t="shared" si="17"/>
        <v>18</v>
      </c>
      <c r="G142" s="163">
        <f t="shared" si="18"/>
        <v>2855</v>
      </c>
      <c r="H142" s="328">
        <f t="shared" si="9"/>
        <v>5967.3100432908504</v>
      </c>
      <c r="I142" s="339">
        <f t="shared" si="14"/>
        <v>5967.3100432908504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18</v>
      </c>
      <c r="E143" s="164">
        <f t="shared" si="16"/>
        <v>18</v>
      </c>
      <c r="F143" s="163">
        <f t="shared" si="17"/>
        <v>0</v>
      </c>
      <c r="G143" s="163">
        <f t="shared" si="18"/>
        <v>9</v>
      </c>
      <c r="H143" s="328">
        <f t="shared" si="9"/>
        <v>18.924620101442262</v>
      </c>
      <c r="I143" s="339">
        <f t="shared" si="14"/>
        <v>18.924620101442262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9"/>
        <v>0</v>
      </c>
      <c r="I144" s="339">
        <f t="shared" si="14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9"/>
        <v>0</v>
      </c>
      <c r="I145" s="339">
        <f t="shared" si="14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9"/>
        <v>0</v>
      </c>
      <c r="I146" s="339">
        <f t="shared" si="14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9"/>
        <v>0</v>
      </c>
      <c r="I147" s="339">
        <f t="shared" si="14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9"/>
        <v>0</v>
      </c>
      <c r="I148" s="339">
        <f t="shared" si="14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9"/>
        <v>0</v>
      </c>
      <c r="I149" s="339">
        <f t="shared" si="14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9"/>
        <v>0</v>
      </c>
      <c r="I150" s="339">
        <f t="shared" si="14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9"/>
        <v>0</v>
      </c>
      <c r="I151" s="339">
        <f t="shared" si="14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9"/>
        <v>0</v>
      </c>
      <c r="I152" s="339">
        <f t="shared" si="14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9"/>
        <v>0</v>
      </c>
      <c r="I153" s="339">
        <f t="shared" si="14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9"/>
        <v>0</v>
      </c>
      <c r="I154" s="341">
        <f t="shared" si="14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244000</v>
      </c>
      <c r="F155" s="115"/>
      <c r="G155" s="115"/>
      <c r="H155" s="115">
        <f>SUM(H99:H154)</f>
        <v>795525.20601135923</v>
      </c>
      <c r="I155" s="115">
        <f>SUM(I99:I154)</f>
        <v>795525.20601135923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76" zoomScale="80" zoomScaleNormal="80" workbookViewId="0">
      <selection activeCell="D95" sqref="D9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23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138731.92205669577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138731.92205669577</v>
      </c>
      <c r="O6" s="1"/>
      <c r="P6" s="1"/>
    </row>
    <row r="7" spans="1:16" ht="13.5" thickBot="1">
      <c r="C7" s="127" t="s">
        <v>46</v>
      </c>
      <c r="D7" s="227" t="s">
        <v>304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305</v>
      </c>
      <c r="E9" s="406" t="s">
        <v>306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1778000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2018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39511.111111111109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2018</v>
      </c>
      <c r="D17" s="413">
        <v>0</v>
      </c>
      <c r="E17" s="418">
        <v>19755.555555555555</v>
      </c>
      <c r="F17" s="413">
        <v>1758244.4444444445</v>
      </c>
      <c r="G17" s="418">
        <v>138731.92205669577</v>
      </c>
      <c r="H17" s="416">
        <v>138731.92205669577</v>
      </c>
      <c r="I17" s="160">
        <f>H17-G17</f>
        <v>0</v>
      </c>
      <c r="J17" s="160"/>
      <c r="K17" s="332">
        <f>+G17</f>
        <v>138731.92205669577</v>
      </c>
      <c r="L17" s="161">
        <f t="shared" ref="L17:L72" si="0">IF(K17&lt;&gt;0,+G17-K17,0)</f>
        <v>0</v>
      </c>
      <c r="M17" s="332">
        <f>+H17</f>
        <v>138731.92205669577</v>
      </c>
      <c r="N17" s="161">
        <f t="shared" ref="N17:N72" si="1">IF(M17&lt;&gt;0,+H17-M17,0)</f>
        <v>0</v>
      </c>
      <c r="O17" s="162">
        <f t="shared" ref="O17:O72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1758244.4444444445</v>
      </c>
      <c r="E18" s="164">
        <f>IF(+I$14&lt;F17,I$14,D18)</f>
        <v>39511.111111111109</v>
      </c>
      <c r="F18" s="163">
        <f>+D18-E18</f>
        <v>1718733.3333333335</v>
      </c>
      <c r="G18" s="165">
        <f>(D18+F18)/2*I$12+E18</f>
        <v>274790.21789988282</v>
      </c>
      <c r="H18" s="147">
        <f>+(D18+F18)/2*I$13+E18</f>
        <v>274790.21789988282</v>
      </c>
      <c r="I18" s="160">
        <f>H18-G18</f>
        <v>0</v>
      </c>
      <c r="J18" s="160"/>
      <c r="K18" s="330"/>
      <c r="L18" s="162">
        <f t="shared" si="0"/>
        <v>0</v>
      </c>
      <c r="M18" s="330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1718733.3333333335</v>
      </c>
      <c r="E19" s="164">
        <f t="shared" ref="E19:E71" si="3">IF(+I$14&lt;F18,I$14,D19)</f>
        <v>39511.111111111109</v>
      </c>
      <c r="F19" s="163">
        <f t="shared" ref="F19:F71" si="4">+D19-E19</f>
        <v>1679222.2222222225</v>
      </c>
      <c r="G19" s="165">
        <f t="shared" ref="G19:G71" si="5">(D19+F19)/2*I$12+E19</f>
        <v>269442.96547286527</v>
      </c>
      <c r="H19" s="147">
        <f t="shared" ref="H19:H71" si="6">+(D19+F19)/2*I$13+E19</f>
        <v>269442.96547286527</v>
      </c>
      <c r="I19" s="160">
        <f t="shared" ref="I19:I71" si="7">H19-G19</f>
        <v>0</v>
      </c>
      <c r="J19" s="160"/>
      <c r="K19" s="330"/>
      <c r="L19" s="162">
        <f t="shared" si="0"/>
        <v>0</v>
      </c>
      <c r="M19" s="330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1679222.2222222225</v>
      </c>
      <c r="E20" s="164">
        <f t="shared" si="3"/>
        <v>39511.111111111109</v>
      </c>
      <c r="F20" s="163">
        <f t="shared" si="4"/>
        <v>1639711.1111111115</v>
      </c>
      <c r="G20" s="165">
        <f t="shared" si="5"/>
        <v>264095.71304584772</v>
      </c>
      <c r="H20" s="147">
        <f t="shared" si="6"/>
        <v>264095.71304584772</v>
      </c>
      <c r="I20" s="160">
        <f t="shared" si="7"/>
        <v>0</v>
      </c>
      <c r="J20" s="160"/>
      <c r="K20" s="330"/>
      <c r="L20" s="162">
        <f t="shared" si="0"/>
        <v>0</v>
      </c>
      <c r="M20" s="330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1639711.1111111115</v>
      </c>
      <c r="E21" s="164">
        <f t="shared" si="3"/>
        <v>39511.111111111109</v>
      </c>
      <c r="F21" s="163">
        <f t="shared" si="4"/>
        <v>1600200.0000000005</v>
      </c>
      <c r="G21" s="165">
        <f t="shared" si="5"/>
        <v>258748.46061883023</v>
      </c>
      <c r="H21" s="147">
        <f t="shared" si="6"/>
        <v>258748.46061883023</v>
      </c>
      <c r="I21" s="160">
        <f t="shared" si="7"/>
        <v>0</v>
      </c>
      <c r="J21" s="160"/>
      <c r="K21" s="330"/>
      <c r="L21" s="162">
        <f t="shared" si="0"/>
        <v>0</v>
      </c>
      <c r="M21" s="330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1600200.0000000005</v>
      </c>
      <c r="E22" s="164">
        <f t="shared" si="3"/>
        <v>39511.111111111109</v>
      </c>
      <c r="F22" s="163">
        <f t="shared" si="4"/>
        <v>1560688.8888888895</v>
      </c>
      <c r="G22" s="165">
        <f t="shared" si="5"/>
        <v>253401.20819181268</v>
      </c>
      <c r="H22" s="147">
        <f t="shared" si="6"/>
        <v>253401.20819181268</v>
      </c>
      <c r="I22" s="160">
        <f t="shared" si="7"/>
        <v>0</v>
      </c>
      <c r="J22" s="160"/>
      <c r="K22" s="330"/>
      <c r="L22" s="162">
        <f t="shared" si="0"/>
        <v>0</v>
      </c>
      <c r="M22" s="330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1560688.8888888895</v>
      </c>
      <c r="E23" s="164">
        <f t="shared" si="3"/>
        <v>39511.111111111109</v>
      </c>
      <c r="F23" s="163">
        <f t="shared" si="4"/>
        <v>1521177.7777777785</v>
      </c>
      <c r="G23" s="165">
        <f t="shared" si="5"/>
        <v>248053.95576479519</v>
      </c>
      <c r="H23" s="147">
        <f t="shared" si="6"/>
        <v>248053.95576479519</v>
      </c>
      <c r="I23" s="160">
        <f t="shared" si="7"/>
        <v>0</v>
      </c>
      <c r="J23" s="160"/>
      <c r="K23" s="330"/>
      <c r="L23" s="162">
        <f t="shared" si="0"/>
        <v>0</v>
      </c>
      <c r="M23" s="330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1521177.7777777785</v>
      </c>
      <c r="E24" s="164">
        <f t="shared" si="3"/>
        <v>39511.111111111109</v>
      </c>
      <c r="F24" s="163">
        <f t="shared" si="4"/>
        <v>1481666.6666666674</v>
      </c>
      <c r="G24" s="165">
        <f t="shared" si="5"/>
        <v>242706.70333777764</v>
      </c>
      <c r="H24" s="147">
        <f t="shared" si="6"/>
        <v>242706.70333777764</v>
      </c>
      <c r="I24" s="160">
        <f t="shared" si="7"/>
        <v>0</v>
      </c>
      <c r="J24" s="160"/>
      <c r="K24" s="330"/>
      <c r="L24" s="162">
        <f t="shared" si="0"/>
        <v>0</v>
      </c>
      <c r="M24" s="330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1481666.6666666674</v>
      </c>
      <c r="E25" s="164">
        <f t="shared" si="3"/>
        <v>39511.111111111109</v>
      </c>
      <c r="F25" s="163">
        <f t="shared" si="4"/>
        <v>1442155.5555555564</v>
      </c>
      <c r="G25" s="165">
        <f t="shared" si="5"/>
        <v>237359.45091076015</v>
      </c>
      <c r="H25" s="147">
        <f t="shared" si="6"/>
        <v>237359.45091076015</v>
      </c>
      <c r="I25" s="160">
        <f t="shared" si="7"/>
        <v>0</v>
      </c>
      <c r="J25" s="160"/>
      <c r="K25" s="330"/>
      <c r="L25" s="162">
        <f t="shared" si="0"/>
        <v>0</v>
      </c>
      <c r="M25" s="330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1442155.5555555564</v>
      </c>
      <c r="E26" s="164">
        <f t="shared" si="3"/>
        <v>39511.111111111109</v>
      </c>
      <c r="F26" s="163">
        <f t="shared" si="4"/>
        <v>1402644.4444444454</v>
      </c>
      <c r="G26" s="165">
        <f t="shared" si="5"/>
        <v>232012.1984837426</v>
      </c>
      <c r="H26" s="147">
        <f t="shared" si="6"/>
        <v>232012.1984837426</v>
      </c>
      <c r="I26" s="160">
        <f t="shared" si="7"/>
        <v>0</v>
      </c>
      <c r="J26" s="160"/>
      <c r="K26" s="330"/>
      <c r="L26" s="162">
        <f t="shared" si="0"/>
        <v>0</v>
      </c>
      <c r="M26" s="330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1402644.4444444454</v>
      </c>
      <c r="E27" s="164">
        <f t="shared" si="3"/>
        <v>39511.111111111109</v>
      </c>
      <c r="F27" s="163">
        <f t="shared" si="4"/>
        <v>1363133.3333333344</v>
      </c>
      <c r="G27" s="165">
        <f t="shared" si="5"/>
        <v>226664.94605672505</v>
      </c>
      <c r="H27" s="147">
        <f t="shared" si="6"/>
        <v>226664.94605672505</v>
      </c>
      <c r="I27" s="160">
        <f t="shared" si="7"/>
        <v>0</v>
      </c>
      <c r="J27" s="160"/>
      <c r="K27" s="330"/>
      <c r="L27" s="162">
        <f t="shared" si="0"/>
        <v>0</v>
      </c>
      <c r="M27" s="330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1363133.3333333344</v>
      </c>
      <c r="E28" s="164">
        <f t="shared" si="3"/>
        <v>39511.111111111109</v>
      </c>
      <c r="F28" s="163">
        <f t="shared" si="4"/>
        <v>1323622.2222222234</v>
      </c>
      <c r="G28" s="165">
        <f t="shared" si="5"/>
        <v>221317.69362970756</v>
      </c>
      <c r="H28" s="147">
        <f t="shared" si="6"/>
        <v>221317.69362970756</v>
      </c>
      <c r="I28" s="160">
        <f t="shared" si="7"/>
        <v>0</v>
      </c>
      <c r="J28" s="160"/>
      <c r="K28" s="330"/>
      <c r="L28" s="162">
        <f t="shared" si="0"/>
        <v>0</v>
      </c>
      <c r="M28" s="330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1323622.2222222234</v>
      </c>
      <c r="E29" s="164">
        <f t="shared" si="3"/>
        <v>39511.111111111109</v>
      </c>
      <c r="F29" s="163">
        <f t="shared" si="4"/>
        <v>1284111.1111111124</v>
      </c>
      <c r="G29" s="165">
        <f t="shared" si="5"/>
        <v>215970.44120269001</v>
      </c>
      <c r="H29" s="147">
        <f t="shared" si="6"/>
        <v>215970.44120269001</v>
      </c>
      <c r="I29" s="160">
        <f t="shared" si="7"/>
        <v>0</v>
      </c>
      <c r="J29" s="160"/>
      <c r="K29" s="330"/>
      <c r="L29" s="162">
        <f t="shared" si="0"/>
        <v>0</v>
      </c>
      <c r="M29" s="330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1284111.1111111124</v>
      </c>
      <c r="E30" s="164">
        <f t="shared" si="3"/>
        <v>39511.111111111109</v>
      </c>
      <c r="F30" s="163">
        <f t="shared" si="4"/>
        <v>1244600.0000000014</v>
      </c>
      <c r="G30" s="165">
        <f t="shared" si="5"/>
        <v>210623.18877567252</v>
      </c>
      <c r="H30" s="147">
        <f t="shared" si="6"/>
        <v>210623.18877567252</v>
      </c>
      <c r="I30" s="160">
        <f t="shared" si="7"/>
        <v>0</v>
      </c>
      <c r="J30" s="160"/>
      <c r="K30" s="330"/>
      <c r="L30" s="162">
        <f t="shared" si="0"/>
        <v>0</v>
      </c>
      <c r="M30" s="330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1244600.0000000014</v>
      </c>
      <c r="E31" s="164">
        <f t="shared" si="3"/>
        <v>39511.111111111109</v>
      </c>
      <c r="F31" s="163">
        <f t="shared" si="4"/>
        <v>1205088.8888888904</v>
      </c>
      <c r="G31" s="165">
        <f t="shared" si="5"/>
        <v>205275.93634865497</v>
      </c>
      <c r="H31" s="147">
        <f t="shared" si="6"/>
        <v>205275.93634865497</v>
      </c>
      <c r="I31" s="160">
        <f t="shared" si="7"/>
        <v>0</v>
      </c>
      <c r="J31" s="160"/>
      <c r="K31" s="330"/>
      <c r="L31" s="162">
        <f t="shared" si="0"/>
        <v>0</v>
      </c>
      <c r="M31" s="330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1205088.8888888904</v>
      </c>
      <c r="E32" s="164">
        <f t="shared" si="3"/>
        <v>39511.111111111109</v>
      </c>
      <c r="F32" s="163">
        <f t="shared" si="4"/>
        <v>1165577.7777777794</v>
      </c>
      <c r="G32" s="165">
        <f t="shared" si="5"/>
        <v>199928.68392163748</v>
      </c>
      <c r="H32" s="147">
        <f t="shared" si="6"/>
        <v>199928.68392163748</v>
      </c>
      <c r="I32" s="160">
        <f t="shared" si="7"/>
        <v>0</v>
      </c>
      <c r="J32" s="160"/>
      <c r="K32" s="330"/>
      <c r="L32" s="162">
        <f t="shared" si="0"/>
        <v>0</v>
      </c>
      <c r="M32" s="330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1165577.7777777794</v>
      </c>
      <c r="E33" s="164">
        <f t="shared" si="3"/>
        <v>39511.111111111109</v>
      </c>
      <c r="F33" s="163">
        <f t="shared" si="4"/>
        <v>1126066.6666666684</v>
      </c>
      <c r="G33" s="165">
        <f t="shared" si="5"/>
        <v>194581.43149461993</v>
      </c>
      <c r="H33" s="147">
        <f t="shared" si="6"/>
        <v>194581.43149461993</v>
      </c>
      <c r="I33" s="160">
        <f t="shared" si="7"/>
        <v>0</v>
      </c>
      <c r="J33" s="160"/>
      <c r="K33" s="330"/>
      <c r="L33" s="162">
        <f t="shared" si="0"/>
        <v>0</v>
      </c>
      <c r="M33" s="330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1126066.6666666684</v>
      </c>
      <c r="E34" s="164">
        <f t="shared" si="3"/>
        <v>39511.111111111109</v>
      </c>
      <c r="F34" s="163">
        <f t="shared" si="4"/>
        <v>1086555.5555555574</v>
      </c>
      <c r="G34" s="165">
        <f t="shared" si="5"/>
        <v>189234.17906760244</v>
      </c>
      <c r="H34" s="147">
        <f t="shared" si="6"/>
        <v>189234.17906760244</v>
      </c>
      <c r="I34" s="160">
        <f t="shared" si="7"/>
        <v>0</v>
      </c>
      <c r="J34" s="160"/>
      <c r="K34" s="330"/>
      <c r="L34" s="162">
        <f t="shared" si="0"/>
        <v>0</v>
      </c>
      <c r="M34" s="330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1086555.5555555574</v>
      </c>
      <c r="E35" s="164">
        <f t="shared" si="3"/>
        <v>39511.111111111109</v>
      </c>
      <c r="F35" s="163">
        <f t="shared" si="4"/>
        <v>1047044.4444444462</v>
      </c>
      <c r="G35" s="165">
        <f t="shared" si="5"/>
        <v>183886.92664058489</v>
      </c>
      <c r="H35" s="147">
        <f t="shared" si="6"/>
        <v>183886.92664058489</v>
      </c>
      <c r="I35" s="160">
        <f t="shared" si="7"/>
        <v>0</v>
      </c>
      <c r="J35" s="160"/>
      <c r="K35" s="330"/>
      <c r="L35" s="162">
        <f t="shared" si="0"/>
        <v>0</v>
      </c>
      <c r="M35" s="330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1047044.4444444462</v>
      </c>
      <c r="E36" s="164">
        <f t="shared" si="3"/>
        <v>39511.111111111109</v>
      </c>
      <c r="F36" s="163">
        <f t="shared" si="4"/>
        <v>1007533.3333333351</v>
      </c>
      <c r="G36" s="165">
        <f t="shared" si="5"/>
        <v>178539.67421356734</v>
      </c>
      <c r="H36" s="147">
        <f t="shared" si="6"/>
        <v>178539.67421356734</v>
      </c>
      <c r="I36" s="160">
        <f t="shared" si="7"/>
        <v>0</v>
      </c>
      <c r="J36" s="160"/>
      <c r="K36" s="330"/>
      <c r="L36" s="162">
        <f t="shared" si="0"/>
        <v>0</v>
      </c>
      <c r="M36" s="330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1007533.3333333351</v>
      </c>
      <c r="E37" s="164">
        <f t="shared" si="3"/>
        <v>39511.111111111109</v>
      </c>
      <c r="F37" s="163">
        <f t="shared" si="4"/>
        <v>968022.22222222399</v>
      </c>
      <c r="G37" s="165">
        <f t="shared" si="5"/>
        <v>173192.42178654979</v>
      </c>
      <c r="H37" s="147">
        <f t="shared" si="6"/>
        <v>173192.42178654979</v>
      </c>
      <c r="I37" s="160">
        <f t="shared" si="7"/>
        <v>0</v>
      </c>
      <c r="J37" s="160"/>
      <c r="K37" s="330"/>
      <c r="L37" s="162">
        <f t="shared" si="0"/>
        <v>0</v>
      </c>
      <c r="M37" s="330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968022.22222222399</v>
      </c>
      <c r="E38" s="164">
        <f t="shared" si="3"/>
        <v>39511.111111111109</v>
      </c>
      <c r="F38" s="163">
        <f t="shared" si="4"/>
        <v>928511.11111111287</v>
      </c>
      <c r="G38" s="165">
        <f t="shared" si="5"/>
        <v>167845.16935953224</v>
      </c>
      <c r="H38" s="147">
        <f t="shared" si="6"/>
        <v>167845.16935953224</v>
      </c>
      <c r="I38" s="160">
        <f t="shared" si="7"/>
        <v>0</v>
      </c>
      <c r="J38" s="160"/>
      <c r="K38" s="330"/>
      <c r="L38" s="162">
        <f t="shared" si="0"/>
        <v>0</v>
      </c>
      <c r="M38" s="330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928511.11111111287</v>
      </c>
      <c r="E39" s="164">
        <f t="shared" si="3"/>
        <v>39511.111111111109</v>
      </c>
      <c r="F39" s="163">
        <f t="shared" si="4"/>
        <v>889000.00000000175</v>
      </c>
      <c r="G39" s="165">
        <f t="shared" si="5"/>
        <v>162497.91693251472</v>
      </c>
      <c r="H39" s="147">
        <f t="shared" si="6"/>
        <v>162497.91693251472</v>
      </c>
      <c r="I39" s="160">
        <f t="shared" si="7"/>
        <v>0</v>
      </c>
      <c r="J39" s="160"/>
      <c r="K39" s="330"/>
      <c r="L39" s="162">
        <f t="shared" si="0"/>
        <v>0</v>
      </c>
      <c r="M39" s="330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889000.00000000175</v>
      </c>
      <c r="E40" s="164">
        <f t="shared" si="3"/>
        <v>39511.111111111109</v>
      </c>
      <c r="F40" s="163">
        <f t="shared" si="4"/>
        <v>849488.88888889062</v>
      </c>
      <c r="G40" s="165">
        <f t="shared" si="5"/>
        <v>157150.66450549717</v>
      </c>
      <c r="H40" s="147">
        <f t="shared" si="6"/>
        <v>157150.66450549717</v>
      </c>
      <c r="I40" s="160">
        <f t="shared" si="7"/>
        <v>0</v>
      </c>
      <c r="J40" s="160"/>
      <c r="K40" s="330"/>
      <c r="L40" s="162">
        <f t="shared" si="0"/>
        <v>0</v>
      </c>
      <c r="M40" s="330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849488.88888889062</v>
      </c>
      <c r="E41" s="164">
        <f t="shared" si="3"/>
        <v>39511.111111111109</v>
      </c>
      <c r="F41" s="163">
        <f t="shared" si="4"/>
        <v>809977.7777777795</v>
      </c>
      <c r="G41" s="165">
        <f t="shared" si="5"/>
        <v>151803.41207847965</v>
      </c>
      <c r="H41" s="147">
        <f t="shared" si="6"/>
        <v>151803.41207847965</v>
      </c>
      <c r="I41" s="160">
        <f t="shared" si="7"/>
        <v>0</v>
      </c>
      <c r="J41" s="160"/>
      <c r="K41" s="330"/>
      <c r="L41" s="162">
        <f t="shared" si="0"/>
        <v>0</v>
      </c>
      <c r="M41" s="330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809977.7777777795</v>
      </c>
      <c r="E42" s="164">
        <f t="shared" si="3"/>
        <v>39511.111111111109</v>
      </c>
      <c r="F42" s="163">
        <f t="shared" si="4"/>
        <v>770466.66666666837</v>
      </c>
      <c r="G42" s="165">
        <f t="shared" si="5"/>
        <v>146456.15965146211</v>
      </c>
      <c r="H42" s="147">
        <f t="shared" si="6"/>
        <v>146456.15965146211</v>
      </c>
      <c r="I42" s="160">
        <f t="shared" si="7"/>
        <v>0</v>
      </c>
      <c r="J42" s="160"/>
      <c r="K42" s="330"/>
      <c r="L42" s="162">
        <f t="shared" si="0"/>
        <v>0</v>
      </c>
      <c r="M42" s="330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770466.66666666837</v>
      </c>
      <c r="E43" s="164">
        <f t="shared" si="3"/>
        <v>39511.111111111109</v>
      </c>
      <c r="F43" s="163">
        <f t="shared" si="4"/>
        <v>730955.55555555725</v>
      </c>
      <c r="G43" s="165">
        <f t="shared" si="5"/>
        <v>141108.90722444456</v>
      </c>
      <c r="H43" s="147">
        <f t="shared" si="6"/>
        <v>141108.90722444456</v>
      </c>
      <c r="I43" s="160">
        <f t="shared" si="7"/>
        <v>0</v>
      </c>
      <c r="J43" s="160"/>
      <c r="K43" s="330"/>
      <c r="L43" s="162">
        <f t="shared" si="0"/>
        <v>0</v>
      </c>
      <c r="M43" s="330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730955.55555555725</v>
      </c>
      <c r="E44" s="164">
        <f t="shared" si="3"/>
        <v>39511.111111111109</v>
      </c>
      <c r="F44" s="163">
        <f t="shared" si="4"/>
        <v>691444.44444444613</v>
      </c>
      <c r="G44" s="165">
        <f t="shared" si="5"/>
        <v>135761.65479742701</v>
      </c>
      <c r="H44" s="147">
        <f t="shared" si="6"/>
        <v>135761.65479742701</v>
      </c>
      <c r="I44" s="160">
        <f t="shared" si="7"/>
        <v>0</v>
      </c>
      <c r="J44" s="160"/>
      <c r="K44" s="330"/>
      <c r="L44" s="162">
        <f t="shared" si="0"/>
        <v>0</v>
      </c>
      <c r="M44" s="330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691444.44444444613</v>
      </c>
      <c r="E45" s="164">
        <f t="shared" si="3"/>
        <v>39511.111111111109</v>
      </c>
      <c r="F45" s="163">
        <f t="shared" si="4"/>
        <v>651933.333333335</v>
      </c>
      <c r="G45" s="165">
        <f t="shared" si="5"/>
        <v>130414.40237040949</v>
      </c>
      <c r="H45" s="147">
        <f t="shared" si="6"/>
        <v>130414.40237040949</v>
      </c>
      <c r="I45" s="160">
        <f t="shared" si="7"/>
        <v>0</v>
      </c>
      <c r="J45" s="160"/>
      <c r="K45" s="330"/>
      <c r="L45" s="162">
        <f t="shared" si="0"/>
        <v>0</v>
      </c>
      <c r="M45" s="330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651933.333333335</v>
      </c>
      <c r="E46" s="164">
        <f t="shared" si="3"/>
        <v>39511.111111111109</v>
      </c>
      <c r="F46" s="163">
        <f t="shared" si="4"/>
        <v>612422.22222222388</v>
      </c>
      <c r="G46" s="165">
        <f t="shared" si="5"/>
        <v>125067.14994339194</v>
      </c>
      <c r="H46" s="147">
        <f t="shared" si="6"/>
        <v>125067.14994339194</v>
      </c>
      <c r="I46" s="160">
        <f t="shared" si="7"/>
        <v>0</v>
      </c>
      <c r="J46" s="160"/>
      <c r="K46" s="330"/>
      <c r="L46" s="162">
        <f t="shared" si="0"/>
        <v>0</v>
      </c>
      <c r="M46" s="330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612422.22222222388</v>
      </c>
      <c r="E47" s="164">
        <f t="shared" si="3"/>
        <v>39511.111111111109</v>
      </c>
      <c r="F47" s="163">
        <f t="shared" si="4"/>
        <v>572911.11111111275</v>
      </c>
      <c r="G47" s="165">
        <f t="shared" si="5"/>
        <v>119719.8975163744</v>
      </c>
      <c r="H47" s="147">
        <f t="shared" si="6"/>
        <v>119719.8975163744</v>
      </c>
      <c r="I47" s="160">
        <f t="shared" si="7"/>
        <v>0</v>
      </c>
      <c r="J47" s="160"/>
      <c r="K47" s="330"/>
      <c r="L47" s="162">
        <f t="shared" si="0"/>
        <v>0</v>
      </c>
      <c r="M47" s="330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572911.11111111275</v>
      </c>
      <c r="E48" s="164">
        <f t="shared" si="3"/>
        <v>39511.111111111109</v>
      </c>
      <c r="F48" s="163">
        <f t="shared" si="4"/>
        <v>533400.00000000163</v>
      </c>
      <c r="G48" s="165">
        <f t="shared" si="5"/>
        <v>114372.64508935685</v>
      </c>
      <c r="H48" s="147">
        <f t="shared" si="6"/>
        <v>114372.64508935685</v>
      </c>
      <c r="I48" s="160">
        <f t="shared" si="7"/>
        <v>0</v>
      </c>
      <c r="J48" s="160"/>
      <c r="K48" s="330"/>
      <c r="L48" s="162">
        <f t="shared" si="0"/>
        <v>0</v>
      </c>
      <c r="M48" s="330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533400.00000000163</v>
      </c>
      <c r="E49" s="164">
        <f t="shared" si="3"/>
        <v>39511.111111111109</v>
      </c>
      <c r="F49" s="163">
        <f t="shared" si="4"/>
        <v>493888.88888889051</v>
      </c>
      <c r="G49" s="165">
        <f t="shared" si="5"/>
        <v>109025.39266233932</v>
      </c>
      <c r="H49" s="147">
        <f t="shared" si="6"/>
        <v>109025.39266233932</v>
      </c>
      <c r="I49" s="160">
        <f t="shared" si="7"/>
        <v>0</v>
      </c>
      <c r="J49" s="160"/>
      <c r="K49" s="330"/>
      <c r="L49" s="162">
        <f t="shared" si="0"/>
        <v>0</v>
      </c>
      <c r="M49" s="330"/>
      <c r="N49" s="162">
        <f t="shared" si="1"/>
        <v>0</v>
      </c>
      <c r="O49" s="162">
        <f t="shared" si="2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493888.88888889051</v>
      </c>
      <c r="E50" s="164">
        <f t="shared" si="3"/>
        <v>39511.111111111109</v>
      </c>
      <c r="F50" s="163">
        <f t="shared" si="4"/>
        <v>454377.77777777938</v>
      </c>
      <c r="G50" s="165">
        <f t="shared" si="5"/>
        <v>103678.14023532179</v>
      </c>
      <c r="H50" s="147">
        <f t="shared" si="6"/>
        <v>103678.14023532179</v>
      </c>
      <c r="I50" s="160">
        <f t="shared" si="7"/>
        <v>0</v>
      </c>
      <c r="J50" s="160"/>
      <c r="K50" s="330"/>
      <c r="L50" s="162">
        <f t="shared" si="0"/>
        <v>0</v>
      </c>
      <c r="M50" s="330"/>
      <c r="N50" s="162">
        <f t="shared" si="1"/>
        <v>0</v>
      </c>
      <c r="O50" s="162">
        <f t="shared" si="2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454377.77777777938</v>
      </c>
      <c r="E51" s="164">
        <f t="shared" si="3"/>
        <v>39511.111111111109</v>
      </c>
      <c r="F51" s="163">
        <f t="shared" si="4"/>
        <v>414866.66666666826</v>
      </c>
      <c r="G51" s="165">
        <f t="shared" si="5"/>
        <v>98330.887808304251</v>
      </c>
      <c r="H51" s="147">
        <f t="shared" si="6"/>
        <v>98330.887808304251</v>
      </c>
      <c r="I51" s="160">
        <f t="shared" si="7"/>
        <v>0</v>
      </c>
      <c r="J51" s="160"/>
      <c r="K51" s="330"/>
      <c r="L51" s="162">
        <f t="shared" si="0"/>
        <v>0</v>
      </c>
      <c r="M51" s="330"/>
      <c r="N51" s="162">
        <f t="shared" si="1"/>
        <v>0</v>
      </c>
      <c r="O51" s="162">
        <f t="shared" si="2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414866.66666666826</v>
      </c>
      <c r="E52" s="164">
        <f t="shared" si="3"/>
        <v>39511.111111111109</v>
      </c>
      <c r="F52" s="163">
        <f t="shared" si="4"/>
        <v>375355.55555555713</v>
      </c>
      <c r="G52" s="165">
        <f t="shared" si="5"/>
        <v>92983.635381286702</v>
      </c>
      <c r="H52" s="147">
        <f t="shared" si="6"/>
        <v>92983.635381286702</v>
      </c>
      <c r="I52" s="160">
        <f t="shared" si="7"/>
        <v>0</v>
      </c>
      <c r="J52" s="160"/>
      <c r="K52" s="330"/>
      <c r="L52" s="162">
        <f t="shared" si="0"/>
        <v>0</v>
      </c>
      <c r="M52" s="330"/>
      <c r="N52" s="162">
        <f t="shared" si="1"/>
        <v>0</v>
      </c>
      <c r="O52" s="162">
        <f t="shared" si="2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375355.55555555713</v>
      </c>
      <c r="E53" s="164">
        <f t="shared" si="3"/>
        <v>39511.111111111109</v>
      </c>
      <c r="F53" s="163">
        <f t="shared" si="4"/>
        <v>335844.44444444601</v>
      </c>
      <c r="G53" s="165">
        <f t="shared" si="5"/>
        <v>87636.382954269167</v>
      </c>
      <c r="H53" s="147">
        <f t="shared" si="6"/>
        <v>87636.382954269167</v>
      </c>
      <c r="I53" s="160">
        <f t="shared" si="7"/>
        <v>0</v>
      </c>
      <c r="J53" s="160"/>
      <c r="K53" s="330"/>
      <c r="L53" s="162">
        <f t="shared" si="0"/>
        <v>0</v>
      </c>
      <c r="M53" s="330"/>
      <c r="N53" s="162">
        <f t="shared" si="1"/>
        <v>0</v>
      </c>
      <c r="O53" s="162">
        <f t="shared" si="2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335844.44444444601</v>
      </c>
      <c r="E54" s="164">
        <f t="shared" si="3"/>
        <v>39511.111111111109</v>
      </c>
      <c r="F54" s="163">
        <f t="shared" si="4"/>
        <v>296333.33333333489</v>
      </c>
      <c r="G54" s="165">
        <f t="shared" si="5"/>
        <v>82289.130527251633</v>
      </c>
      <c r="H54" s="147">
        <f t="shared" si="6"/>
        <v>82289.130527251633</v>
      </c>
      <c r="I54" s="160">
        <f t="shared" si="7"/>
        <v>0</v>
      </c>
      <c r="J54" s="160"/>
      <c r="K54" s="330"/>
      <c r="L54" s="162">
        <f t="shared" si="0"/>
        <v>0</v>
      </c>
      <c r="M54" s="330"/>
      <c r="N54" s="162">
        <f t="shared" si="1"/>
        <v>0</v>
      </c>
      <c r="O54" s="162">
        <f t="shared" si="2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296333.33333333489</v>
      </c>
      <c r="E55" s="164">
        <f t="shared" si="3"/>
        <v>39511.111111111109</v>
      </c>
      <c r="F55" s="163">
        <f t="shared" si="4"/>
        <v>256822.22222222376</v>
      </c>
      <c r="G55" s="165">
        <f t="shared" si="5"/>
        <v>76941.878100234084</v>
      </c>
      <c r="H55" s="147">
        <f t="shared" si="6"/>
        <v>76941.878100234084</v>
      </c>
      <c r="I55" s="160">
        <f t="shared" si="7"/>
        <v>0</v>
      </c>
      <c r="J55" s="160"/>
      <c r="K55" s="330"/>
      <c r="L55" s="162">
        <f t="shared" si="0"/>
        <v>0</v>
      </c>
      <c r="M55" s="330"/>
      <c r="N55" s="162">
        <f t="shared" si="1"/>
        <v>0</v>
      </c>
      <c r="O55" s="162">
        <f t="shared" si="2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256822.22222222376</v>
      </c>
      <c r="E56" s="164">
        <f t="shared" si="3"/>
        <v>39511.111111111109</v>
      </c>
      <c r="F56" s="163">
        <f t="shared" si="4"/>
        <v>217311.11111111264</v>
      </c>
      <c r="G56" s="165">
        <f t="shared" si="5"/>
        <v>71594.625673216549</v>
      </c>
      <c r="H56" s="147">
        <f t="shared" si="6"/>
        <v>71594.625673216549</v>
      </c>
      <c r="I56" s="160">
        <f t="shared" si="7"/>
        <v>0</v>
      </c>
      <c r="J56" s="160"/>
      <c r="K56" s="330"/>
      <c r="L56" s="162">
        <f t="shared" si="0"/>
        <v>0</v>
      </c>
      <c r="M56" s="330"/>
      <c r="N56" s="162">
        <f t="shared" si="1"/>
        <v>0</v>
      </c>
      <c r="O56" s="162">
        <f t="shared" si="2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217311.11111111264</v>
      </c>
      <c r="E57" s="164">
        <f t="shared" si="3"/>
        <v>39511.111111111109</v>
      </c>
      <c r="F57" s="163">
        <f t="shared" si="4"/>
        <v>177800.00000000151</v>
      </c>
      <c r="G57" s="165">
        <f t="shared" si="5"/>
        <v>66247.373246199</v>
      </c>
      <c r="H57" s="147">
        <f t="shared" si="6"/>
        <v>66247.373246199</v>
      </c>
      <c r="I57" s="160">
        <f t="shared" si="7"/>
        <v>0</v>
      </c>
      <c r="J57" s="160"/>
      <c r="K57" s="330"/>
      <c r="L57" s="162">
        <f t="shared" si="0"/>
        <v>0</v>
      </c>
      <c r="M57" s="330"/>
      <c r="N57" s="162">
        <f t="shared" si="1"/>
        <v>0</v>
      </c>
      <c r="O57" s="162">
        <f t="shared" si="2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177800.00000000151</v>
      </c>
      <c r="E58" s="164">
        <f t="shared" si="3"/>
        <v>39511.111111111109</v>
      </c>
      <c r="F58" s="163">
        <f t="shared" si="4"/>
        <v>138288.88888889039</v>
      </c>
      <c r="G58" s="165">
        <f t="shared" si="5"/>
        <v>60900.120819181466</v>
      </c>
      <c r="H58" s="147">
        <f t="shared" si="6"/>
        <v>60900.120819181466</v>
      </c>
      <c r="I58" s="160">
        <f t="shared" si="7"/>
        <v>0</v>
      </c>
      <c r="J58" s="160"/>
      <c r="K58" s="330"/>
      <c r="L58" s="162">
        <f t="shared" si="0"/>
        <v>0</v>
      </c>
      <c r="M58" s="330"/>
      <c r="N58" s="162">
        <f t="shared" si="1"/>
        <v>0</v>
      </c>
      <c r="O58" s="162">
        <f t="shared" si="2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138288.88888889039</v>
      </c>
      <c r="E59" s="164">
        <f t="shared" si="3"/>
        <v>39511.111111111109</v>
      </c>
      <c r="F59" s="163">
        <f t="shared" si="4"/>
        <v>98777.77777777928</v>
      </c>
      <c r="G59" s="165">
        <f t="shared" si="5"/>
        <v>55552.868392163924</v>
      </c>
      <c r="H59" s="147">
        <f t="shared" si="6"/>
        <v>55552.868392163924</v>
      </c>
      <c r="I59" s="160">
        <f t="shared" si="7"/>
        <v>0</v>
      </c>
      <c r="J59" s="160"/>
      <c r="K59" s="330"/>
      <c r="L59" s="162">
        <f t="shared" si="0"/>
        <v>0</v>
      </c>
      <c r="M59" s="330"/>
      <c r="N59" s="162">
        <f t="shared" si="1"/>
        <v>0</v>
      </c>
      <c r="O59" s="162">
        <f t="shared" si="2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98777.77777777928</v>
      </c>
      <c r="E60" s="164">
        <f t="shared" si="3"/>
        <v>39511.111111111109</v>
      </c>
      <c r="F60" s="163">
        <f t="shared" si="4"/>
        <v>59266.66666666817</v>
      </c>
      <c r="G60" s="165">
        <f t="shared" si="5"/>
        <v>50205.615965146389</v>
      </c>
      <c r="H60" s="147">
        <f t="shared" si="6"/>
        <v>50205.615965146389</v>
      </c>
      <c r="I60" s="160">
        <f t="shared" si="7"/>
        <v>0</v>
      </c>
      <c r="J60" s="160"/>
      <c r="K60" s="330"/>
      <c r="L60" s="162">
        <f t="shared" si="0"/>
        <v>0</v>
      </c>
      <c r="M60" s="330"/>
      <c r="N60" s="162">
        <f t="shared" si="1"/>
        <v>0</v>
      </c>
      <c r="O60" s="162">
        <f t="shared" si="2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59266.66666666817</v>
      </c>
      <c r="E61" s="164">
        <f t="shared" si="3"/>
        <v>39511.111111111109</v>
      </c>
      <c r="F61" s="163">
        <f t="shared" si="4"/>
        <v>19755.555555557061</v>
      </c>
      <c r="G61" s="165">
        <f t="shared" si="5"/>
        <v>44858.363538128848</v>
      </c>
      <c r="H61" s="147">
        <f t="shared" si="6"/>
        <v>44858.363538128848</v>
      </c>
      <c r="I61" s="160">
        <f t="shared" si="7"/>
        <v>0</v>
      </c>
      <c r="J61" s="160"/>
      <c r="K61" s="330"/>
      <c r="L61" s="162">
        <f t="shared" si="0"/>
        <v>0</v>
      </c>
      <c r="M61" s="330"/>
      <c r="N61" s="162">
        <f t="shared" si="1"/>
        <v>0</v>
      </c>
      <c r="O61" s="162">
        <f t="shared" si="2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19755.555555557061</v>
      </c>
      <c r="E62" s="164">
        <f t="shared" si="3"/>
        <v>19755.555555557061</v>
      </c>
      <c r="F62" s="163">
        <f t="shared" si="4"/>
        <v>0</v>
      </c>
      <c r="G62" s="165">
        <f t="shared" si="5"/>
        <v>21092.368662311546</v>
      </c>
      <c r="H62" s="147">
        <f t="shared" si="6"/>
        <v>21092.368662311546</v>
      </c>
      <c r="I62" s="160">
        <f t="shared" si="7"/>
        <v>0</v>
      </c>
      <c r="J62" s="160"/>
      <c r="K62" s="330"/>
      <c r="L62" s="162">
        <f t="shared" si="0"/>
        <v>0</v>
      </c>
      <c r="M62" s="330"/>
      <c r="N62" s="162">
        <f t="shared" si="1"/>
        <v>0</v>
      </c>
      <c r="O62" s="162">
        <f t="shared" si="2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0"/>
      <c r="L63" s="162">
        <f t="shared" si="0"/>
        <v>0</v>
      </c>
      <c r="M63" s="330"/>
      <c r="N63" s="162">
        <f t="shared" si="1"/>
        <v>0</v>
      </c>
      <c r="O63" s="162">
        <f t="shared" si="2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0"/>
      <c r="L64" s="162">
        <f t="shared" si="0"/>
        <v>0</v>
      </c>
      <c r="M64" s="330"/>
      <c r="N64" s="162">
        <f t="shared" si="1"/>
        <v>0</v>
      </c>
      <c r="O64" s="162">
        <f t="shared" si="2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0"/>
      <c r="L65" s="162">
        <f t="shared" si="0"/>
        <v>0</v>
      </c>
      <c r="M65" s="330"/>
      <c r="N65" s="162">
        <f t="shared" si="1"/>
        <v>0</v>
      </c>
      <c r="O65" s="162">
        <f t="shared" si="2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0"/>
      <c r="L66" s="162">
        <f t="shared" si="0"/>
        <v>0</v>
      </c>
      <c r="M66" s="330"/>
      <c r="N66" s="162">
        <f t="shared" si="1"/>
        <v>0</v>
      </c>
      <c r="O66" s="162">
        <f t="shared" si="2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0"/>
      <c r="L67" s="162">
        <f t="shared" si="0"/>
        <v>0</v>
      </c>
      <c r="M67" s="330"/>
      <c r="N67" s="162">
        <f t="shared" si="1"/>
        <v>0</v>
      </c>
      <c r="O67" s="162">
        <f t="shared" si="2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0"/>
      <c r="L68" s="162">
        <f t="shared" si="0"/>
        <v>0</v>
      </c>
      <c r="M68" s="330"/>
      <c r="N68" s="162">
        <f t="shared" si="1"/>
        <v>0</v>
      </c>
      <c r="O68" s="162">
        <f t="shared" si="2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0"/>
      <c r="L69" s="162">
        <f t="shared" si="0"/>
        <v>0</v>
      </c>
      <c r="M69" s="330"/>
      <c r="N69" s="162">
        <f t="shared" si="1"/>
        <v>0</v>
      </c>
      <c r="O69" s="162">
        <f t="shared" si="2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0"/>
      <c r="L70" s="162">
        <f t="shared" si="0"/>
        <v>0</v>
      </c>
      <c r="M70" s="330"/>
      <c r="N70" s="162">
        <f t="shared" si="1"/>
        <v>0</v>
      </c>
      <c r="O70" s="162">
        <f t="shared" si="2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0"/>
      <c r="L71" s="162">
        <f t="shared" si="0"/>
        <v>0</v>
      </c>
      <c r="M71" s="330"/>
      <c r="N71" s="162">
        <f t="shared" si="1"/>
        <v>0</v>
      </c>
      <c r="O71" s="162">
        <f t="shared" si="2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36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2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1"/>
      <c r="L72" s="173">
        <f t="shared" si="0"/>
        <v>0</v>
      </c>
      <c r="M72" s="331"/>
      <c r="N72" s="173">
        <f t="shared" si="1"/>
        <v>0</v>
      </c>
      <c r="O72" s="173">
        <f t="shared" si="2"/>
        <v>0</v>
      </c>
      <c r="P72" s="4"/>
    </row>
    <row r="73" spans="2:16">
      <c r="C73" s="158" t="s">
        <v>77</v>
      </c>
      <c r="D73" s="115"/>
      <c r="E73" s="115">
        <f>SUM(E17:E72)</f>
        <v>1778000</v>
      </c>
      <c r="F73" s="115"/>
      <c r="G73" s="115">
        <f>SUM(G17:G72)</f>
        <v>7192093.0823552674</v>
      </c>
      <c r="H73" s="115">
        <f>SUM(H17:H72)</f>
        <v>7192093.0823552674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23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138731.92205669577</v>
      </c>
      <c r="N87" s="202">
        <f>IF(J92&lt;D11,0,VLOOKUP(J92,C17:O72,11))</f>
        <v>138731.92205669577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91331.91890913008</v>
      </c>
      <c r="N88" s="204">
        <f>IF(J92&lt;D11,0,VLOOKUP(J92,C99:P154,7))</f>
        <v>91331.91890913008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Elk City 138KV Move Load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-47400.003147565687</v>
      </c>
      <c r="N89" s="207">
        <f>+N88-N87</f>
        <v>-47400.003147565687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TP2011110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v>1778000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2018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41349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0</v>
      </c>
      <c r="F99" s="163">
        <f>IF(D93=C99,+D92-E99,+D99-E99)</f>
        <v>1778000</v>
      </c>
      <c r="G99" s="218">
        <f>+(F99+D99)/2</f>
        <v>889000</v>
      </c>
      <c r="H99" s="218">
        <f>+J$94*G99+E99</f>
        <v>91331.91890913008</v>
      </c>
      <c r="I99" s="218">
        <f>+J$95*G99+E99</f>
        <v>91331.91890913008</v>
      </c>
      <c r="J99" s="162">
        <f>+I99-H99</f>
        <v>0</v>
      </c>
      <c r="K99" s="162"/>
      <c r="L99" s="329"/>
      <c r="M99" s="161">
        <f t="shared" ref="M99:M130" si="9">IF(L99&lt;&gt;0,+H99-L99,0)</f>
        <v>0</v>
      </c>
      <c r="N99" s="329"/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1778000</v>
      </c>
      <c r="E100" s="164">
        <f>IF(+J$96&lt;F99,J$96,D100)</f>
        <v>41349</v>
      </c>
      <c r="F100" s="163">
        <f>+D100-E100</f>
        <v>1736651</v>
      </c>
      <c r="G100" s="163">
        <f>+(F100+D100)/2</f>
        <v>1757325.5</v>
      </c>
      <c r="H100" s="328">
        <f t="shared" ref="H100:H154" si="12">+J$94*G100+E100</f>
        <v>221888.83134189705</v>
      </c>
      <c r="I100" s="339">
        <f t="shared" ref="I100:I154" si="13">+J$95*G100+E100</f>
        <v>221888.83134189705</v>
      </c>
      <c r="J100" s="162">
        <f t="shared" ref="J100:J130" si="14">+I100-H100</f>
        <v>0</v>
      </c>
      <c r="K100" s="162"/>
      <c r="L100" s="330"/>
      <c r="M100" s="162">
        <f t="shared" si="9"/>
        <v>0</v>
      </c>
      <c r="N100" s="330"/>
      <c r="O100" s="162">
        <f t="shared" si="10"/>
        <v>0</v>
      </c>
      <c r="P100" s="162">
        <f t="shared" si="11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1736651</v>
      </c>
      <c r="E101" s="164">
        <f t="shared" ref="E101:E154" si="16">IF(+J$96&lt;F100,J$96,D101)</f>
        <v>41349</v>
      </c>
      <c r="F101" s="163">
        <f t="shared" ref="F101:F154" si="17">+D101-E101</f>
        <v>1695302</v>
      </c>
      <c r="G101" s="163">
        <f t="shared" ref="G101:G154" si="18">+(F101+D101)/2</f>
        <v>1715976.5</v>
      </c>
      <c r="H101" s="328">
        <f t="shared" si="12"/>
        <v>217640.81838917083</v>
      </c>
      <c r="I101" s="339">
        <f t="shared" si="13"/>
        <v>217640.81838917083</v>
      </c>
      <c r="J101" s="162">
        <f t="shared" si="14"/>
        <v>0</v>
      </c>
      <c r="K101" s="162"/>
      <c r="L101" s="330"/>
      <c r="M101" s="162">
        <f t="shared" si="9"/>
        <v>0</v>
      </c>
      <c r="N101" s="330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1695302</v>
      </c>
      <c r="E102" s="164">
        <f t="shared" si="16"/>
        <v>41349</v>
      </c>
      <c r="F102" s="163">
        <f t="shared" si="17"/>
        <v>1653953</v>
      </c>
      <c r="G102" s="163">
        <f t="shared" si="18"/>
        <v>1674627.5</v>
      </c>
      <c r="H102" s="328">
        <f t="shared" si="12"/>
        <v>213392.80543644459</v>
      </c>
      <c r="I102" s="339">
        <f t="shared" si="13"/>
        <v>213392.80543644459</v>
      </c>
      <c r="J102" s="162">
        <f t="shared" si="14"/>
        <v>0</v>
      </c>
      <c r="K102" s="162"/>
      <c r="L102" s="330"/>
      <c r="M102" s="162">
        <f t="shared" si="9"/>
        <v>0</v>
      </c>
      <c r="N102" s="330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1653953</v>
      </c>
      <c r="E103" s="164">
        <f t="shared" si="16"/>
        <v>41349</v>
      </c>
      <c r="F103" s="163">
        <f t="shared" si="17"/>
        <v>1612604</v>
      </c>
      <c r="G103" s="163">
        <f t="shared" si="18"/>
        <v>1633278.5</v>
      </c>
      <c r="H103" s="328">
        <f t="shared" si="12"/>
        <v>209144.79248371837</v>
      </c>
      <c r="I103" s="339">
        <f t="shared" si="13"/>
        <v>209144.79248371837</v>
      </c>
      <c r="J103" s="162">
        <f t="shared" si="14"/>
        <v>0</v>
      </c>
      <c r="K103" s="162"/>
      <c r="L103" s="330"/>
      <c r="M103" s="162">
        <f t="shared" si="9"/>
        <v>0</v>
      </c>
      <c r="N103" s="330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1612604</v>
      </c>
      <c r="E104" s="164">
        <f t="shared" si="16"/>
        <v>41349</v>
      </c>
      <c r="F104" s="163">
        <f t="shared" si="17"/>
        <v>1571255</v>
      </c>
      <c r="G104" s="163">
        <f t="shared" si="18"/>
        <v>1591929.5</v>
      </c>
      <c r="H104" s="328">
        <f t="shared" si="12"/>
        <v>204896.77953099212</v>
      </c>
      <c r="I104" s="339">
        <f t="shared" si="13"/>
        <v>204896.77953099212</v>
      </c>
      <c r="J104" s="162">
        <f t="shared" si="14"/>
        <v>0</v>
      </c>
      <c r="K104" s="162"/>
      <c r="L104" s="330"/>
      <c r="M104" s="162">
        <f t="shared" si="9"/>
        <v>0</v>
      </c>
      <c r="N104" s="330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1571255</v>
      </c>
      <c r="E105" s="164">
        <f t="shared" si="16"/>
        <v>41349</v>
      </c>
      <c r="F105" s="163">
        <f t="shared" si="17"/>
        <v>1529906</v>
      </c>
      <c r="G105" s="163">
        <f t="shared" si="18"/>
        <v>1550580.5</v>
      </c>
      <c r="H105" s="328">
        <f t="shared" si="12"/>
        <v>200648.7665782659</v>
      </c>
      <c r="I105" s="339">
        <f t="shared" si="13"/>
        <v>200648.7665782659</v>
      </c>
      <c r="J105" s="162">
        <f t="shared" si="14"/>
        <v>0</v>
      </c>
      <c r="K105" s="162"/>
      <c r="L105" s="330"/>
      <c r="M105" s="162">
        <f t="shared" si="9"/>
        <v>0</v>
      </c>
      <c r="N105" s="330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1529906</v>
      </c>
      <c r="E106" s="164">
        <f t="shared" si="16"/>
        <v>41349</v>
      </c>
      <c r="F106" s="163">
        <f t="shared" si="17"/>
        <v>1488557</v>
      </c>
      <c r="G106" s="163">
        <f t="shared" si="18"/>
        <v>1509231.5</v>
      </c>
      <c r="H106" s="328">
        <f t="shared" si="12"/>
        <v>196400.75362553966</v>
      </c>
      <c r="I106" s="339">
        <f t="shared" si="13"/>
        <v>196400.75362553966</v>
      </c>
      <c r="J106" s="162">
        <f t="shared" si="14"/>
        <v>0</v>
      </c>
      <c r="K106" s="162"/>
      <c r="L106" s="330"/>
      <c r="M106" s="162">
        <f t="shared" si="9"/>
        <v>0</v>
      </c>
      <c r="N106" s="330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1488557</v>
      </c>
      <c r="E107" s="164">
        <f t="shared" si="16"/>
        <v>41349</v>
      </c>
      <c r="F107" s="163">
        <f t="shared" si="17"/>
        <v>1447208</v>
      </c>
      <c r="G107" s="163">
        <f t="shared" si="18"/>
        <v>1467882.5</v>
      </c>
      <c r="H107" s="328">
        <f t="shared" si="12"/>
        <v>192152.74067281344</v>
      </c>
      <c r="I107" s="339">
        <f t="shared" si="13"/>
        <v>192152.74067281344</v>
      </c>
      <c r="J107" s="162">
        <f t="shared" si="14"/>
        <v>0</v>
      </c>
      <c r="K107" s="162"/>
      <c r="L107" s="330"/>
      <c r="M107" s="162">
        <f t="shared" si="9"/>
        <v>0</v>
      </c>
      <c r="N107" s="330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1447208</v>
      </c>
      <c r="E108" s="164">
        <f t="shared" si="16"/>
        <v>41349</v>
      </c>
      <c r="F108" s="163">
        <f t="shared" si="17"/>
        <v>1405859</v>
      </c>
      <c r="G108" s="163">
        <f t="shared" si="18"/>
        <v>1426533.5</v>
      </c>
      <c r="H108" s="328">
        <f t="shared" si="12"/>
        <v>187904.72772008719</v>
      </c>
      <c r="I108" s="339">
        <f t="shared" si="13"/>
        <v>187904.72772008719</v>
      </c>
      <c r="J108" s="162">
        <f t="shared" si="14"/>
        <v>0</v>
      </c>
      <c r="K108" s="162"/>
      <c r="L108" s="330"/>
      <c r="M108" s="162">
        <f t="shared" si="9"/>
        <v>0</v>
      </c>
      <c r="N108" s="330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1405859</v>
      </c>
      <c r="E109" s="164">
        <f t="shared" si="16"/>
        <v>41349</v>
      </c>
      <c r="F109" s="163">
        <f t="shared" si="17"/>
        <v>1364510</v>
      </c>
      <c r="G109" s="163">
        <f t="shared" si="18"/>
        <v>1385184.5</v>
      </c>
      <c r="H109" s="328">
        <f t="shared" si="12"/>
        <v>183656.71476736097</v>
      </c>
      <c r="I109" s="339">
        <f t="shared" si="13"/>
        <v>183656.71476736097</v>
      </c>
      <c r="J109" s="162">
        <f t="shared" si="14"/>
        <v>0</v>
      </c>
      <c r="K109" s="162"/>
      <c r="L109" s="330"/>
      <c r="M109" s="162">
        <f t="shared" si="9"/>
        <v>0</v>
      </c>
      <c r="N109" s="330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1364510</v>
      </c>
      <c r="E110" s="164">
        <f t="shared" si="16"/>
        <v>41349</v>
      </c>
      <c r="F110" s="163">
        <f t="shared" si="17"/>
        <v>1323161</v>
      </c>
      <c r="G110" s="163">
        <f t="shared" si="18"/>
        <v>1343835.5</v>
      </c>
      <c r="H110" s="328">
        <f t="shared" si="12"/>
        <v>179408.70181463473</v>
      </c>
      <c r="I110" s="339">
        <f t="shared" si="13"/>
        <v>179408.70181463473</v>
      </c>
      <c r="J110" s="162">
        <f t="shared" si="14"/>
        <v>0</v>
      </c>
      <c r="K110" s="162"/>
      <c r="L110" s="330"/>
      <c r="M110" s="162">
        <f t="shared" si="9"/>
        <v>0</v>
      </c>
      <c r="N110" s="330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1323161</v>
      </c>
      <c r="E111" s="164">
        <f t="shared" si="16"/>
        <v>41349</v>
      </c>
      <c r="F111" s="163">
        <f t="shared" si="17"/>
        <v>1281812</v>
      </c>
      <c r="G111" s="163">
        <f t="shared" si="18"/>
        <v>1302486.5</v>
      </c>
      <c r="H111" s="328">
        <f t="shared" si="12"/>
        <v>175160.68886190851</v>
      </c>
      <c r="I111" s="339">
        <f t="shared" si="13"/>
        <v>175160.68886190851</v>
      </c>
      <c r="J111" s="162">
        <f t="shared" si="14"/>
        <v>0</v>
      </c>
      <c r="K111" s="162"/>
      <c r="L111" s="330"/>
      <c r="M111" s="162">
        <f t="shared" si="9"/>
        <v>0</v>
      </c>
      <c r="N111" s="330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1281812</v>
      </c>
      <c r="E112" s="164">
        <f t="shared" si="16"/>
        <v>41349</v>
      </c>
      <c r="F112" s="163">
        <f t="shared" si="17"/>
        <v>1240463</v>
      </c>
      <c r="G112" s="163">
        <f t="shared" si="18"/>
        <v>1261137.5</v>
      </c>
      <c r="H112" s="328">
        <f t="shared" si="12"/>
        <v>170912.67590918229</v>
      </c>
      <c r="I112" s="339">
        <f t="shared" si="13"/>
        <v>170912.67590918229</v>
      </c>
      <c r="J112" s="162">
        <f t="shared" si="14"/>
        <v>0</v>
      </c>
      <c r="K112" s="162"/>
      <c r="L112" s="330"/>
      <c r="M112" s="162">
        <f t="shared" si="9"/>
        <v>0</v>
      </c>
      <c r="N112" s="330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1240463</v>
      </c>
      <c r="E113" s="164">
        <f t="shared" si="16"/>
        <v>41349</v>
      </c>
      <c r="F113" s="163">
        <f t="shared" si="17"/>
        <v>1199114</v>
      </c>
      <c r="G113" s="163">
        <f t="shared" si="18"/>
        <v>1219788.5</v>
      </c>
      <c r="H113" s="328">
        <f t="shared" si="12"/>
        <v>166664.66295645604</v>
      </c>
      <c r="I113" s="339">
        <f t="shared" si="13"/>
        <v>166664.66295645604</v>
      </c>
      <c r="J113" s="162">
        <f t="shared" si="14"/>
        <v>0</v>
      </c>
      <c r="K113" s="162"/>
      <c r="L113" s="330"/>
      <c r="M113" s="162">
        <f t="shared" si="9"/>
        <v>0</v>
      </c>
      <c r="N113" s="330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1199114</v>
      </c>
      <c r="E114" s="164">
        <f t="shared" si="16"/>
        <v>41349</v>
      </c>
      <c r="F114" s="163">
        <f t="shared" si="17"/>
        <v>1157765</v>
      </c>
      <c r="G114" s="163">
        <f t="shared" si="18"/>
        <v>1178439.5</v>
      </c>
      <c r="H114" s="328">
        <f t="shared" si="12"/>
        <v>162416.6500037298</v>
      </c>
      <c r="I114" s="339">
        <f t="shared" si="13"/>
        <v>162416.6500037298</v>
      </c>
      <c r="J114" s="162">
        <f t="shared" si="14"/>
        <v>0</v>
      </c>
      <c r="K114" s="162"/>
      <c r="L114" s="330"/>
      <c r="M114" s="162">
        <f t="shared" si="9"/>
        <v>0</v>
      </c>
      <c r="N114" s="330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1157765</v>
      </c>
      <c r="E115" s="164">
        <f t="shared" si="16"/>
        <v>41349</v>
      </c>
      <c r="F115" s="163">
        <f t="shared" si="17"/>
        <v>1116416</v>
      </c>
      <c r="G115" s="163">
        <f t="shared" si="18"/>
        <v>1137090.5</v>
      </c>
      <c r="H115" s="328">
        <f t="shared" si="12"/>
        <v>158168.63705100358</v>
      </c>
      <c r="I115" s="339">
        <f t="shared" si="13"/>
        <v>158168.63705100358</v>
      </c>
      <c r="J115" s="162">
        <f t="shared" si="14"/>
        <v>0</v>
      </c>
      <c r="K115" s="162"/>
      <c r="L115" s="330"/>
      <c r="M115" s="162">
        <f t="shared" si="9"/>
        <v>0</v>
      </c>
      <c r="N115" s="330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1116416</v>
      </c>
      <c r="E116" s="164">
        <f t="shared" si="16"/>
        <v>41349</v>
      </c>
      <c r="F116" s="163">
        <f t="shared" si="17"/>
        <v>1075067</v>
      </c>
      <c r="G116" s="163">
        <f t="shared" si="18"/>
        <v>1095741.5</v>
      </c>
      <c r="H116" s="328">
        <f t="shared" si="12"/>
        <v>153920.62409827736</v>
      </c>
      <c r="I116" s="339">
        <f t="shared" si="13"/>
        <v>153920.62409827736</v>
      </c>
      <c r="J116" s="162">
        <f t="shared" si="14"/>
        <v>0</v>
      </c>
      <c r="K116" s="162"/>
      <c r="L116" s="330"/>
      <c r="M116" s="162">
        <f t="shared" si="9"/>
        <v>0</v>
      </c>
      <c r="N116" s="330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1075067</v>
      </c>
      <c r="E117" s="164">
        <f t="shared" si="16"/>
        <v>41349</v>
      </c>
      <c r="F117" s="163">
        <f t="shared" si="17"/>
        <v>1033718</v>
      </c>
      <c r="G117" s="163">
        <f t="shared" si="18"/>
        <v>1054392.5</v>
      </c>
      <c r="H117" s="328">
        <f t="shared" si="12"/>
        <v>149672.61114555111</v>
      </c>
      <c r="I117" s="339">
        <f t="shared" si="13"/>
        <v>149672.61114555111</v>
      </c>
      <c r="J117" s="162">
        <f t="shared" si="14"/>
        <v>0</v>
      </c>
      <c r="K117" s="162"/>
      <c r="L117" s="330"/>
      <c r="M117" s="162">
        <f t="shared" si="9"/>
        <v>0</v>
      </c>
      <c r="N117" s="330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1033718</v>
      </c>
      <c r="E118" s="164">
        <f t="shared" si="16"/>
        <v>41349</v>
      </c>
      <c r="F118" s="163">
        <f t="shared" si="17"/>
        <v>992369</v>
      </c>
      <c r="G118" s="163">
        <f t="shared" si="18"/>
        <v>1013043.5</v>
      </c>
      <c r="H118" s="328">
        <f t="shared" si="12"/>
        <v>145424.59819282487</v>
      </c>
      <c r="I118" s="339">
        <f t="shared" si="13"/>
        <v>145424.59819282487</v>
      </c>
      <c r="J118" s="162">
        <f t="shared" si="14"/>
        <v>0</v>
      </c>
      <c r="K118" s="162"/>
      <c r="L118" s="330"/>
      <c r="M118" s="162">
        <f t="shared" si="9"/>
        <v>0</v>
      </c>
      <c r="N118" s="330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992369</v>
      </c>
      <c r="E119" s="164">
        <f t="shared" si="16"/>
        <v>41349</v>
      </c>
      <c r="F119" s="163">
        <f t="shared" si="17"/>
        <v>951020</v>
      </c>
      <c r="G119" s="163">
        <f t="shared" si="18"/>
        <v>971694.5</v>
      </c>
      <c r="H119" s="328">
        <f t="shared" si="12"/>
        <v>141176.58524009865</v>
      </c>
      <c r="I119" s="339">
        <f t="shared" si="13"/>
        <v>141176.58524009865</v>
      </c>
      <c r="J119" s="162">
        <f t="shared" si="14"/>
        <v>0</v>
      </c>
      <c r="K119" s="162"/>
      <c r="L119" s="330"/>
      <c r="M119" s="162">
        <f t="shared" si="9"/>
        <v>0</v>
      </c>
      <c r="N119" s="330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951020</v>
      </c>
      <c r="E120" s="164">
        <f t="shared" si="16"/>
        <v>41349</v>
      </c>
      <c r="F120" s="163">
        <f t="shared" si="17"/>
        <v>909671</v>
      </c>
      <c r="G120" s="163">
        <f t="shared" si="18"/>
        <v>930345.5</v>
      </c>
      <c r="H120" s="328">
        <f t="shared" si="12"/>
        <v>136928.57228737243</v>
      </c>
      <c r="I120" s="339">
        <f t="shared" si="13"/>
        <v>136928.57228737243</v>
      </c>
      <c r="J120" s="162">
        <f t="shared" si="14"/>
        <v>0</v>
      </c>
      <c r="K120" s="162"/>
      <c r="L120" s="330"/>
      <c r="M120" s="162">
        <f t="shared" si="9"/>
        <v>0</v>
      </c>
      <c r="N120" s="330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909671</v>
      </c>
      <c r="E121" s="164">
        <f t="shared" si="16"/>
        <v>41349</v>
      </c>
      <c r="F121" s="163">
        <f t="shared" si="17"/>
        <v>868322</v>
      </c>
      <c r="G121" s="163">
        <f t="shared" si="18"/>
        <v>888996.5</v>
      </c>
      <c r="H121" s="328">
        <f t="shared" si="12"/>
        <v>132680.55933464618</v>
      </c>
      <c r="I121" s="339">
        <f t="shared" si="13"/>
        <v>132680.55933464618</v>
      </c>
      <c r="J121" s="162">
        <f t="shared" si="14"/>
        <v>0</v>
      </c>
      <c r="K121" s="162"/>
      <c r="L121" s="330"/>
      <c r="M121" s="162">
        <f t="shared" si="9"/>
        <v>0</v>
      </c>
      <c r="N121" s="330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868322</v>
      </c>
      <c r="E122" s="164">
        <f t="shared" si="16"/>
        <v>41349</v>
      </c>
      <c r="F122" s="163">
        <f t="shared" si="17"/>
        <v>826973</v>
      </c>
      <c r="G122" s="163">
        <f t="shared" si="18"/>
        <v>847647.5</v>
      </c>
      <c r="H122" s="328">
        <f t="shared" si="12"/>
        <v>128432.54638191995</v>
      </c>
      <c r="I122" s="339">
        <f t="shared" si="13"/>
        <v>128432.54638191995</v>
      </c>
      <c r="J122" s="162">
        <f t="shared" si="14"/>
        <v>0</v>
      </c>
      <c r="K122" s="162"/>
      <c r="L122" s="330"/>
      <c r="M122" s="162">
        <f t="shared" si="9"/>
        <v>0</v>
      </c>
      <c r="N122" s="330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826973</v>
      </c>
      <c r="E123" s="164">
        <f t="shared" si="16"/>
        <v>41349</v>
      </c>
      <c r="F123" s="163">
        <f t="shared" si="17"/>
        <v>785624</v>
      </c>
      <c r="G123" s="163">
        <f t="shared" si="18"/>
        <v>806298.5</v>
      </c>
      <c r="H123" s="328">
        <f t="shared" si="12"/>
        <v>124184.53342919373</v>
      </c>
      <c r="I123" s="339">
        <f t="shared" si="13"/>
        <v>124184.53342919373</v>
      </c>
      <c r="J123" s="162">
        <f t="shared" si="14"/>
        <v>0</v>
      </c>
      <c r="K123" s="162"/>
      <c r="L123" s="330"/>
      <c r="M123" s="162">
        <f t="shared" si="9"/>
        <v>0</v>
      </c>
      <c r="N123" s="330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785624</v>
      </c>
      <c r="E124" s="164">
        <f t="shared" si="16"/>
        <v>41349</v>
      </c>
      <c r="F124" s="163">
        <f t="shared" si="17"/>
        <v>744275</v>
      </c>
      <c r="G124" s="163">
        <f t="shared" si="18"/>
        <v>764949.5</v>
      </c>
      <c r="H124" s="328">
        <f t="shared" si="12"/>
        <v>119936.5204764675</v>
      </c>
      <c r="I124" s="339">
        <f t="shared" si="13"/>
        <v>119936.5204764675</v>
      </c>
      <c r="J124" s="162">
        <f t="shared" si="14"/>
        <v>0</v>
      </c>
      <c r="K124" s="162"/>
      <c r="L124" s="330"/>
      <c r="M124" s="162">
        <f t="shared" si="9"/>
        <v>0</v>
      </c>
      <c r="N124" s="330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744275</v>
      </c>
      <c r="E125" s="164">
        <f t="shared" si="16"/>
        <v>41349</v>
      </c>
      <c r="F125" s="163">
        <f t="shared" si="17"/>
        <v>702926</v>
      </c>
      <c r="G125" s="163">
        <f t="shared" si="18"/>
        <v>723600.5</v>
      </c>
      <c r="H125" s="328">
        <f t="shared" si="12"/>
        <v>115688.50752374127</v>
      </c>
      <c r="I125" s="339">
        <f t="shared" si="13"/>
        <v>115688.50752374127</v>
      </c>
      <c r="J125" s="162">
        <f t="shared" si="14"/>
        <v>0</v>
      </c>
      <c r="K125" s="162"/>
      <c r="L125" s="330"/>
      <c r="M125" s="162">
        <f t="shared" si="9"/>
        <v>0</v>
      </c>
      <c r="N125" s="330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702926</v>
      </c>
      <c r="E126" s="164">
        <f t="shared" si="16"/>
        <v>41349</v>
      </c>
      <c r="F126" s="163">
        <f t="shared" si="17"/>
        <v>661577</v>
      </c>
      <c r="G126" s="163">
        <f t="shared" si="18"/>
        <v>682251.5</v>
      </c>
      <c r="H126" s="328">
        <f t="shared" si="12"/>
        <v>111440.49457101504</v>
      </c>
      <c r="I126" s="339">
        <f t="shared" si="13"/>
        <v>111440.49457101504</v>
      </c>
      <c r="J126" s="162">
        <f t="shared" si="14"/>
        <v>0</v>
      </c>
      <c r="K126" s="162"/>
      <c r="L126" s="330"/>
      <c r="M126" s="162">
        <f t="shared" si="9"/>
        <v>0</v>
      </c>
      <c r="N126" s="330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661577</v>
      </c>
      <c r="E127" s="164">
        <f t="shared" si="16"/>
        <v>41349</v>
      </c>
      <c r="F127" s="163">
        <f t="shared" si="17"/>
        <v>620228</v>
      </c>
      <c r="G127" s="163">
        <f t="shared" si="18"/>
        <v>640902.5</v>
      </c>
      <c r="H127" s="328">
        <f t="shared" si="12"/>
        <v>107192.4816182888</v>
      </c>
      <c r="I127" s="339">
        <f t="shared" si="13"/>
        <v>107192.4816182888</v>
      </c>
      <c r="J127" s="162">
        <f t="shared" si="14"/>
        <v>0</v>
      </c>
      <c r="K127" s="162"/>
      <c r="L127" s="330"/>
      <c r="M127" s="162">
        <f t="shared" si="9"/>
        <v>0</v>
      </c>
      <c r="N127" s="330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620228</v>
      </c>
      <c r="E128" s="164">
        <f t="shared" si="16"/>
        <v>41349</v>
      </c>
      <c r="F128" s="163">
        <f t="shared" si="17"/>
        <v>578879</v>
      </c>
      <c r="G128" s="163">
        <f t="shared" si="18"/>
        <v>599553.5</v>
      </c>
      <c r="H128" s="328">
        <f t="shared" si="12"/>
        <v>102944.46866556257</v>
      </c>
      <c r="I128" s="339">
        <f t="shared" si="13"/>
        <v>102944.46866556257</v>
      </c>
      <c r="J128" s="162">
        <f t="shared" si="14"/>
        <v>0</v>
      </c>
      <c r="K128" s="162"/>
      <c r="L128" s="330"/>
      <c r="M128" s="162">
        <f t="shared" si="9"/>
        <v>0</v>
      </c>
      <c r="N128" s="330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578879</v>
      </c>
      <c r="E129" s="164">
        <f t="shared" si="16"/>
        <v>41349</v>
      </c>
      <c r="F129" s="163">
        <f t="shared" si="17"/>
        <v>537530</v>
      </c>
      <c r="G129" s="163">
        <f t="shared" si="18"/>
        <v>558204.5</v>
      </c>
      <c r="H129" s="328">
        <f t="shared" si="12"/>
        <v>98696.455712836338</v>
      </c>
      <c r="I129" s="339">
        <f t="shared" si="13"/>
        <v>98696.455712836338</v>
      </c>
      <c r="J129" s="162">
        <f t="shared" si="14"/>
        <v>0</v>
      </c>
      <c r="K129" s="162"/>
      <c r="L129" s="330"/>
      <c r="M129" s="162">
        <f t="shared" si="9"/>
        <v>0</v>
      </c>
      <c r="N129" s="330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537530</v>
      </c>
      <c r="E130" s="164">
        <f t="shared" si="16"/>
        <v>41349</v>
      </c>
      <c r="F130" s="163">
        <f t="shared" si="17"/>
        <v>496181</v>
      </c>
      <c r="G130" s="163">
        <f t="shared" si="18"/>
        <v>516855.5</v>
      </c>
      <c r="H130" s="328">
        <f t="shared" si="12"/>
        <v>94448.442760110105</v>
      </c>
      <c r="I130" s="339">
        <f t="shared" si="13"/>
        <v>94448.442760110105</v>
      </c>
      <c r="J130" s="162">
        <f t="shared" si="14"/>
        <v>0</v>
      </c>
      <c r="K130" s="162"/>
      <c r="L130" s="330"/>
      <c r="M130" s="162">
        <f t="shared" si="9"/>
        <v>0</v>
      </c>
      <c r="N130" s="330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496181</v>
      </c>
      <c r="E131" s="164">
        <f t="shared" si="16"/>
        <v>41349</v>
      </c>
      <c r="F131" s="163">
        <f t="shared" si="17"/>
        <v>454832</v>
      </c>
      <c r="G131" s="163">
        <f t="shared" si="18"/>
        <v>475506.5</v>
      </c>
      <c r="H131" s="328">
        <f t="shared" si="12"/>
        <v>90200.429807383873</v>
      </c>
      <c r="I131" s="339">
        <f t="shared" si="13"/>
        <v>90200.429807383873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454832</v>
      </c>
      <c r="E132" s="164">
        <f t="shared" si="16"/>
        <v>41349</v>
      </c>
      <c r="F132" s="163">
        <f t="shared" si="17"/>
        <v>413483</v>
      </c>
      <c r="G132" s="163">
        <f t="shared" si="18"/>
        <v>434157.5</v>
      </c>
      <c r="H132" s="328">
        <f t="shared" si="12"/>
        <v>85952.41685465764</v>
      </c>
      <c r="I132" s="339">
        <f t="shared" si="13"/>
        <v>85952.41685465764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413483</v>
      </c>
      <c r="E133" s="164">
        <f t="shared" si="16"/>
        <v>41349</v>
      </c>
      <c r="F133" s="163">
        <f t="shared" si="17"/>
        <v>372134</v>
      </c>
      <c r="G133" s="163">
        <f t="shared" si="18"/>
        <v>392808.5</v>
      </c>
      <c r="H133" s="328">
        <f t="shared" si="12"/>
        <v>81704.403901931408</v>
      </c>
      <c r="I133" s="339">
        <f t="shared" si="13"/>
        <v>81704.403901931408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372134</v>
      </c>
      <c r="E134" s="164">
        <f t="shared" si="16"/>
        <v>41349</v>
      </c>
      <c r="F134" s="163">
        <f t="shared" si="17"/>
        <v>330785</v>
      </c>
      <c r="G134" s="163">
        <f t="shared" si="18"/>
        <v>351459.5</v>
      </c>
      <c r="H134" s="328">
        <f t="shared" si="12"/>
        <v>77456.390949205175</v>
      </c>
      <c r="I134" s="339">
        <f t="shared" si="13"/>
        <v>77456.390949205175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330785</v>
      </c>
      <c r="E135" s="164">
        <f t="shared" si="16"/>
        <v>41349</v>
      </c>
      <c r="F135" s="163">
        <f t="shared" si="17"/>
        <v>289436</v>
      </c>
      <c r="G135" s="163">
        <f t="shared" si="18"/>
        <v>310110.5</v>
      </c>
      <c r="H135" s="328">
        <f t="shared" si="12"/>
        <v>73208.377996478943</v>
      </c>
      <c r="I135" s="339">
        <f t="shared" si="13"/>
        <v>73208.377996478943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289436</v>
      </c>
      <c r="E136" s="164">
        <f t="shared" si="16"/>
        <v>41349</v>
      </c>
      <c r="F136" s="163">
        <f t="shared" si="17"/>
        <v>248087</v>
      </c>
      <c r="G136" s="163">
        <f t="shared" si="18"/>
        <v>268761.5</v>
      </c>
      <c r="H136" s="328">
        <f t="shared" si="12"/>
        <v>68960.36504375271</v>
      </c>
      <c r="I136" s="339">
        <f t="shared" si="13"/>
        <v>68960.36504375271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248087</v>
      </c>
      <c r="E137" s="164">
        <f t="shared" si="16"/>
        <v>41349</v>
      </c>
      <c r="F137" s="163">
        <f t="shared" si="17"/>
        <v>206738</v>
      </c>
      <c r="G137" s="163">
        <f t="shared" si="18"/>
        <v>227412.5</v>
      </c>
      <c r="H137" s="328">
        <f t="shared" si="12"/>
        <v>64712.352091026485</v>
      </c>
      <c r="I137" s="339">
        <f t="shared" si="13"/>
        <v>64712.352091026485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206738</v>
      </c>
      <c r="E138" s="164">
        <f t="shared" si="16"/>
        <v>41349</v>
      </c>
      <c r="F138" s="163">
        <f t="shared" si="17"/>
        <v>165389</v>
      </c>
      <c r="G138" s="163">
        <f t="shared" si="18"/>
        <v>186063.5</v>
      </c>
      <c r="H138" s="328">
        <f t="shared" si="12"/>
        <v>60464.339138300253</v>
      </c>
      <c r="I138" s="339">
        <f t="shared" si="13"/>
        <v>60464.339138300253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165389</v>
      </c>
      <c r="E139" s="164">
        <f t="shared" si="16"/>
        <v>41349</v>
      </c>
      <c r="F139" s="163">
        <f t="shared" si="17"/>
        <v>124040</v>
      </c>
      <c r="G139" s="163">
        <f t="shared" si="18"/>
        <v>144714.5</v>
      </c>
      <c r="H139" s="328">
        <f t="shared" si="12"/>
        <v>56216.32618557402</v>
      </c>
      <c r="I139" s="339">
        <f t="shared" si="13"/>
        <v>56216.32618557402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124040</v>
      </c>
      <c r="E140" s="164">
        <f t="shared" si="16"/>
        <v>41349</v>
      </c>
      <c r="F140" s="163">
        <f t="shared" si="17"/>
        <v>82691</v>
      </c>
      <c r="G140" s="163">
        <f t="shared" si="18"/>
        <v>103365.5</v>
      </c>
      <c r="H140" s="328">
        <f t="shared" si="12"/>
        <v>51968.313232847788</v>
      </c>
      <c r="I140" s="339">
        <f t="shared" si="13"/>
        <v>51968.313232847788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82691</v>
      </c>
      <c r="E141" s="164">
        <f t="shared" si="16"/>
        <v>41349</v>
      </c>
      <c r="F141" s="163">
        <f t="shared" si="17"/>
        <v>41342</v>
      </c>
      <c r="G141" s="163">
        <f t="shared" si="18"/>
        <v>62016.5</v>
      </c>
      <c r="H141" s="328">
        <f t="shared" si="12"/>
        <v>47720.300280121563</v>
      </c>
      <c r="I141" s="339">
        <f t="shared" si="13"/>
        <v>47720.300280121563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41342</v>
      </c>
      <c r="E142" s="164">
        <f t="shared" si="16"/>
        <v>41342</v>
      </c>
      <c r="F142" s="163">
        <f t="shared" si="17"/>
        <v>0</v>
      </c>
      <c r="G142" s="163">
        <f t="shared" si="18"/>
        <v>20671</v>
      </c>
      <c r="H142" s="328">
        <f t="shared" si="12"/>
        <v>43465.64690187922</v>
      </c>
      <c r="I142" s="339">
        <f t="shared" si="13"/>
        <v>43465.64690187922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2"/>
        <v>0</v>
      </c>
      <c r="I143" s="339">
        <f t="shared" si="13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2"/>
        <v>0</v>
      </c>
      <c r="I144" s="339">
        <f t="shared" si="13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2"/>
        <v>0</v>
      </c>
      <c r="I145" s="339">
        <f t="shared" si="13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2"/>
        <v>0</v>
      </c>
      <c r="I146" s="339">
        <f t="shared" si="13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2"/>
        <v>0</v>
      </c>
      <c r="I147" s="339">
        <f t="shared" si="13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2"/>
        <v>0</v>
      </c>
      <c r="I148" s="339">
        <f t="shared" si="13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2"/>
        <v>0</v>
      </c>
      <c r="I149" s="339">
        <f t="shared" si="13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2"/>
        <v>0</v>
      </c>
      <c r="I150" s="339">
        <f t="shared" si="13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2"/>
        <v>0</v>
      </c>
      <c r="I151" s="339">
        <f t="shared" si="13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2"/>
        <v>0</v>
      </c>
      <c r="I152" s="339">
        <f t="shared" si="13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2"/>
        <v>0</v>
      </c>
      <c r="I153" s="339">
        <f t="shared" si="13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2"/>
        <v>0</v>
      </c>
      <c r="I154" s="341">
        <f t="shared" si="13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1778000</v>
      </c>
      <c r="F155" s="115"/>
      <c r="G155" s="115"/>
      <c r="H155" s="115">
        <f>SUM(H99:H154)</f>
        <v>5796589.3298734007</v>
      </c>
      <c r="I155" s="115">
        <f>SUM(I99:I154)</f>
        <v>5796589.3298734007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19" zoomScale="80" zoomScaleNormal="80" workbookViewId="0">
      <selection activeCell="D93" sqref="D93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24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94880.774589956171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94880.774589956171</v>
      </c>
      <c r="O6" s="1"/>
      <c r="P6" s="1"/>
    </row>
    <row r="7" spans="1:16" ht="13.5" thickBot="1">
      <c r="C7" s="127" t="s">
        <v>46</v>
      </c>
      <c r="D7" s="227" t="s">
        <v>307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308</v>
      </c>
      <c r="E9" s="406" t="s">
        <v>309</v>
      </c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1216000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2018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27022.222222222223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2018</v>
      </c>
      <c r="D17" s="413">
        <v>0</v>
      </c>
      <c r="E17" s="418">
        <v>13511.111111111109</v>
      </c>
      <c r="F17" s="413">
        <v>1202488.888888889</v>
      </c>
      <c r="G17" s="418">
        <v>94880.774589956171</v>
      </c>
      <c r="H17" s="416">
        <v>94880.774589956171</v>
      </c>
      <c r="I17" s="160">
        <f>H17-G17</f>
        <v>0</v>
      </c>
      <c r="J17" s="160"/>
      <c r="K17" s="332">
        <f>+G17</f>
        <v>94880.774589956171</v>
      </c>
      <c r="L17" s="161">
        <f t="shared" ref="L17:L72" si="0">IF(K17&lt;&gt;0,+G17-K17,0)</f>
        <v>0</v>
      </c>
      <c r="M17" s="332">
        <f>+H17</f>
        <v>94880.774589956171</v>
      </c>
      <c r="N17" s="161">
        <f t="shared" ref="N17:N72" si="1">IF(M17&lt;&gt;0,+H17-M17,0)</f>
        <v>0</v>
      </c>
      <c r="O17" s="162">
        <f t="shared" ref="O17:O72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1202488.888888889</v>
      </c>
      <c r="E18" s="164">
        <f>IF(+I$14&lt;F17,I$14,D18)</f>
        <v>27022.222222222223</v>
      </c>
      <c r="F18" s="163">
        <f>+D18-E18</f>
        <v>1175466.6666666667</v>
      </c>
      <c r="G18" s="165">
        <f>(D18+F18)/2*I$12+E18</f>
        <v>187933.0174163428</v>
      </c>
      <c r="H18" s="147">
        <f>+(D18+F18)/2*I$13+E18</f>
        <v>187933.0174163428</v>
      </c>
      <c r="I18" s="160">
        <f>H18-G18</f>
        <v>0</v>
      </c>
      <c r="J18" s="160"/>
      <c r="K18" s="330"/>
      <c r="L18" s="162">
        <f t="shared" si="0"/>
        <v>0</v>
      </c>
      <c r="M18" s="330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1175466.6666666667</v>
      </c>
      <c r="E19" s="164">
        <f t="shared" ref="E19:E71" si="3">IF(+I$14&lt;F18,I$14,D19)</f>
        <v>27022.222222222223</v>
      </c>
      <c r="F19" s="163">
        <f t="shared" ref="F19:F71" si="4">+D19-E19</f>
        <v>1148444.4444444445</v>
      </c>
      <c r="G19" s="165">
        <f t="shared" ref="G19:G71" si="5">(D19+F19)/2*I$12+E19</f>
        <v>184275.95388920367</v>
      </c>
      <c r="H19" s="147">
        <f t="shared" ref="H19:H71" si="6">+(D19+F19)/2*I$13+E19</f>
        <v>184275.95388920367</v>
      </c>
      <c r="I19" s="160">
        <f t="shared" ref="I19:I71" si="7">H19-G19</f>
        <v>0</v>
      </c>
      <c r="J19" s="160"/>
      <c r="K19" s="330"/>
      <c r="L19" s="162">
        <f t="shared" si="0"/>
        <v>0</v>
      </c>
      <c r="M19" s="330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1148444.4444444445</v>
      </c>
      <c r="E20" s="164">
        <f t="shared" si="3"/>
        <v>27022.222222222223</v>
      </c>
      <c r="F20" s="163">
        <f t="shared" si="4"/>
        <v>1121422.2222222222</v>
      </c>
      <c r="G20" s="165">
        <f t="shared" si="5"/>
        <v>180618.89036206459</v>
      </c>
      <c r="H20" s="147">
        <f t="shared" si="6"/>
        <v>180618.89036206459</v>
      </c>
      <c r="I20" s="160">
        <f t="shared" si="7"/>
        <v>0</v>
      </c>
      <c r="J20" s="160"/>
      <c r="K20" s="330"/>
      <c r="L20" s="162">
        <f t="shared" si="0"/>
        <v>0</v>
      </c>
      <c r="M20" s="330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1121422.2222222222</v>
      </c>
      <c r="E21" s="164">
        <f t="shared" si="3"/>
        <v>27022.222222222223</v>
      </c>
      <c r="F21" s="163">
        <f t="shared" si="4"/>
        <v>1094400</v>
      </c>
      <c r="G21" s="165">
        <f t="shared" si="5"/>
        <v>176961.82683492545</v>
      </c>
      <c r="H21" s="147">
        <f t="shared" si="6"/>
        <v>176961.82683492545</v>
      </c>
      <c r="I21" s="160">
        <f t="shared" si="7"/>
        <v>0</v>
      </c>
      <c r="J21" s="160"/>
      <c r="K21" s="330"/>
      <c r="L21" s="162">
        <f t="shared" si="0"/>
        <v>0</v>
      </c>
      <c r="M21" s="330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1094400</v>
      </c>
      <c r="E22" s="164">
        <f t="shared" si="3"/>
        <v>27022.222222222223</v>
      </c>
      <c r="F22" s="163">
        <f t="shared" si="4"/>
        <v>1067377.7777777778</v>
      </c>
      <c r="G22" s="165">
        <f t="shared" si="5"/>
        <v>173304.76330778637</v>
      </c>
      <c r="H22" s="147">
        <f t="shared" si="6"/>
        <v>173304.76330778637</v>
      </c>
      <c r="I22" s="160">
        <f t="shared" si="7"/>
        <v>0</v>
      </c>
      <c r="J22" s="160"/>
      <c r="K22" s="330"/>
      <c r="L22" s="162">
        <f t="shared" si="0"/>
        <v>0</v>
      </c>
      <c r="M22" s="330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1067377.7777777778</v>
      </c>
      <c r="E23" s="164">
        <f t="shared" si="3"/>
        <v>27022.222222222223</v>
      </c>
      <c r="F23" s="163">
        <f t="shared" si="4"/>
        <v>1040355.5555555555</v>
      </c>
      <c r="G23" s="165">
        <f t="shared" si="5"/>
        <v>169647.69978064724</v>
      </c>
      <c r="H23" s="147">
        <f t="shared" si="6"/>
        <v>169647.69978064724</v>
      </c>
      <c r="I23" s="160">
        <f t="shared" si="7"/>
        <v>0</v>
      </c>
      <c r="J23" s="160"/>
      <c r="K23" s="330"/>
      <c r="L23" s="162">
        <f t="shared" si="0"/>
        <v>0</v>
      </c>
      <c r="M23" s="330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1040355.5555555555</v>
      </c>
      <c r="E24" s="164">
        <f t="shared" si="3"/>
        <v>27022.222222222223</v>
      </c>
      <c r="F24" s="163">
        <f t="shared" si="4"/>
        <v>1013333.3333333333</v>
      </c>
      <c r="G24" s="165">
        <f t="shared" si="5"/>
        <v>165990.63625350816</v>
      </c>
      <c r="H24" s="147">
        <f t="shared" si="6"/>
        <v>165990.63625350816</v>
      </c>
      <c r="I24" s="160">
        <f t="shared" si="7"/>
        <v>0</v>
      </c>
      <c r="J24" s="160"/>
      <c r="K24" s="330"/>
      <c r="L24" s="162">
        <f t="shared" si="0"/>
        <v>0</v>
      </c>
      <c r="M24" s="330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1013333.3333333333</v>
      </c>
      <c r="E25" s="164">
        <f t="shared" si="3"/>
        <v>27022.222222222223</v>
      </c>
      <c r="F25" s="163">
        <f t="shared" si="4"/>
        <v>986311.11111111101</v>
      </c>
      <c r="G25" s="165">
        <f t="shared" si="5"/>
        <v>162333.57272636905</v>
      </c>
      <c r="H25" s="147">
        <f t="shared" si="6"/>
        <v>162333.57272636905</v>
      </c>
      <c r="I25" s="160">
        <f t="shared" si="7"/>
        <v>0</v>
      </c>
      <c r="J25" s="160"/>
      <c r="K25" s="330"/>
      <c r="L25" s="162">
        <f t="shared" si="0"/>
        <v>0</v>
      </c>
      <c r="M25" s="330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986311.11111111101</v>
      </c>
      <c r="E26" s="164">
        <f t="shared" si="3"/>
        <v>27022.222222222223</v>
      </c>
      <c r="F26" s="163">
        <f t="shared" si="4"/>
        <v>959288.88888888876</v>
      </c>
      <c r="G26" s="165">
        <f t="shared" si="5"/>
        <v>158676.50919922994</v>
      </c>
      <c r="H26" s="147">
        <f t="shared" si="6"/>
        <v>158676.50919922994</v>
      </c>
      <c r="I26" s="160">
        <f t="shared" si="7"/>
        <v>0</v>
      </c>
      <c r="J26" s="160"/>
      <c r="K26" s="330"/>
      <c r="L26" s="162">
        <f t="shared" si="0"/>
        <v>0</v>
      </c>
      <c r="M26" s="330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959288.88888888876</v>
      </c>
      <c r="E27" s="164">
        <f t="shared" si="3"/>
        <v>27022.222222222223</v>
      </c>
      <c r="F27" s="163">
        <f t="shared" si="4"/>
        <v>932266.66666666651</v>
      </c>
      <c r="G27" s="165">
        <f t="shared" si="5"/>
        <v>155019.44567209083</v>
      </c>
      <c r="H27" s="147">
        <f t="shared" si="6"/>
        <v>155019.44567209083</v>
      </c>
      <c r="I27" s="160">
        <f t="shared" si="7"/>
        <v>0</v>
      </c>
      <c r="J27" s="160"/>
      <c r="K27" s="330"/>
      <c r="L27" s="162">
        <f t="shared" si="0"/>
        <v>0</v>
      </c>
      <c r="M27" s="330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932266.66666666651</v>
      </c>
      <c r="E28" s="164">
        <f t="shared" si="3"/>
        <v>27022.222222222223</v>
      </c>
      <c r="F28" s="163">
        <f t="shared" si="4"/>
        <v>905244.44444444426</v>
      </c>
      <c r="G28" s="165">
        <f t="shared" si="5"/>
        <v>151362.38214495173</v>
      </c>
      <c r="H28" s="147">
        <f t="shared" si="6"/>
        <v>151362.38214495173</v>
      </c>
      <c r="I28" s="160">
        <f t="shared" si="7"/>
        <v>0</v>
      </c>
      <c r="J28" s="160"/>
      <c r="K28" s="330"/>
      <c r="L28" s="162">
        <f t="shared" si="0"/>
        <v>0</v>
      </c>
      <c r="M28" s="330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905244.44444444426</v>
      </c>
      <c r="E29" s="164">
        <f t="shared" si="3"/>
        <v>27022.222222222223</v>
      </c>
      <c r="F29" s="163">
        <f t="shared" si="4"/>
        <v>878222.22222222202</v>
      </c>
      <c r="G29" s="165">
        <f t="shared" si="5"/>
        <v>147705.31861781262</v>
      </c>
      <c r="H29" s="147">
        <f t="shared" si="6"/>
        <v>147705.31861781262</v>
      </c>
      <c r="I29" s="160">
        <f t="shared" si="7"/>
        <v>0</v>
      </c>
      <c r="J29" s="160"/>
      <c r="K29" s="330"/>
      <c r="L29" s="162">
        <f t="shared" si="0"/>
        <v>0</v>
      </c>
      <c r="M29" s="330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878222.22222222202</v>
      </c>
      <c r="E30" s="164">
        <f t="shared" si="3"/>
        <v>27022.222222222223</v>
      </c>
      <c r="F30" s="163">
        <f t="shared" si="4"/>
        <v>851199.99999999977</v>
      </c>
      <c r="G30" s="165">
        <f t="shared" si="5"/>
        <v>144048.25509067351</v>
      </c>
      <c r="H30" s="147">
        <f t="shared" si="6"/>
        <v>144048.25509067351</v>
      </c>
      <c r="I30" s="160">
        <f t="shared" si="7"/>
        <v>0</v>
      </c>
      <c r="J30" s="160"/>
      <c r="K30" s="330"/>
      <c r="L30" s="162">
        <f t="shared" si="0"/>
        <v>0</v>
      </c>
      <c r="M30" s="330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851199.99999999977</v>
      </c>
      <c r="E31" s="164">
        <f t="shared" si="3"/>
        <v>27022.222222222223</v>
      </c>
      <c r="F31" s="163">
        <f t="shared" si="4"/>
        <v>824177.77777777752</v>
      </c>
      <c r="G31" s="165">
        <f t="shared" si="5"/>
        <v>140391.1915635344</v>
      </c>
      <c r="H31" s="147">
        <f t="shared" si="6"/>
        <v>140391.1915635344</v>
      </c>
      <c r="I31" s="160">
        <f t="shared" si="7"/>
        <v>0</v>
      </c>
      <c r="J31" s="160"/>
      <c r="K31" s="330"/>
      <c r="L31" s="162">
        <f t="shared" si="0"/>
        <v>0</v>
      </c>
      <c r="M31" s="330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824177.77777777752</v>
      </c>
      <c r="E32" s="164">
        <f t="shared" si="3"/>
        <v>27022.222222222223</v>
      </c>
      <c r="F32" s="163">
        <f t="shared" si="4"/>
        <v>797155.55555555527</v>
      </c>
      <c r="G32" s="165">
        <f t="shared" si="5"/>
        <v>136734.1280363953</v>
      </c>
      <c r="H32" s="147">
        <f t="shared" si="6"/>
        <v>136734.1280363953</v>
      </c>
      <c r="I32" s="160">
        <f t="shared" si="7"/>
        <v>0</v>
      </c>
      <c r="J32" s="160"/>
      <c r="K32" s="330"/>
      <c r="L32" s="162">
        <f t="shared" si="0"/>
        <v>0</v>
      </c>
      <c r="M32" s="330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797155.55555555527</v>
      </c>
      <c r="E33" s="164">
        <f t="shared" si="3"/>
        <v>27022.222222222223</v>
      </c>
      <c r="F33" s="163">
        <f t="shared" si="4"/>
        <v>770133.33333333302</v>
      </c>
      <c r="G33" s="165">
        <f t="shared" si="5"/>
        <v>133077.06450925619</v>
      </c>
      <c r="H33" s="147">
        <f t="shared" si="6"/>
        <v>133077.06450925619</v>
      </c>
      <c r="I33" s="160">
        <f t="shared" si="7"/>
        <v>0</v>
      </c>
      <c r="J33" s="160"/>
      <c r="K33" s="330"/>
      <c r="L33" s="162">
        <f t="shared" si="0"/>
        <v>0</v>
      </c>
      <c r="M33" s="330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770133.33333333302</v>
      </c>
      <c r="E34" s="164">
        <f t="shared" si="3"/>
        <v>27022.222222222223</v>
      </c>
      <c r="F34" s="163">
        <f t="shared" si="4"/>
        <v>743111.11111111077</v>
      </c>
      <c r="G34" s="165">
        <f t="shared" si="5"/>
        <v>129420.00098211708</v>
      </c>
      <c r="H34" s="147">
        <f t="shared" si="6"/>
        <v>129420.00098211708</v>
      </c>
      <c r="I34" s="160">
        <f t="shared" si="7"/>
        <v>0</v>
      </c>
      <c r="J34" s="160"/>
      <c r="K34" s="330"/>
      <c r="L34" s="162">
        <f t="shared" si="0"/>
        <v>0</v>
      </c>
      <c r="M34" s="330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743111.11111111077</v>
      </c>
      <c r="E35" s="164">
        <f t="shared" si="3"/>
        <v>27022.222222222223</v>
      </c>
      <c r="F35" s="163">
        <f t="shared" si="4"/>
        <v>716088.88888888853</v>
      </c>
      <c r="G35" s="165">
        <f t="shared" si="5"/>
        <v>125762.93745497797</v>
      </c>
      <c r="H35" s="147">
        <f t="shared" si="6"/>
        <v>125762.93745497797</v>
      </c>
      <c r="I35" s="160">
        <f t="shared" si="7"/>
        <v>0</v>
      </c>
      <c r="J35" s="160"/>
      <c r="K35" s="330"/>
      <c r="L35" s="162">
        <f t="shared" si="0"/>
        <v>0</v>
      </c>
      <c r="M35" s="330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716088.88888888853</v>
      </c>
      <c r="E36" s="164">
        <f t="shared" si="3"/>
        <v>27022.222222222223</v>
      </c>
      <c r="F36" s="163">
        <f t="shared" si="4"/>
        <v>689066.66666666628</v>
      </c>
      <c r="G36" s="165">
        <f t="shared" si="5"/>
        <v>122105.87392783887</v>
      </c>
      <c r="H36" s="147">
        <f t="shared" si="6"/>
        <v>122105.87392783887</v>
      </c>
      <c r="I36" s="160">
        <f t="shared" si="7"/>
        <v>0</v>
      </c>
      <c r="J36" s="160"/>
      <c r="K36" s="330"/>
      <c r="L36" s="162">
        <f t="shared" si="0"/>
        <v>0</v>
      </c>
      <c r="M36" s="330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689066.66666666628</v>
      </c>
      <c r="E37" s="164">
        <f t="shared" si="3"/>
        <v>27022.222222222223</v>
      </c>
      <c r="F37" s="163">
        <f t="shared" si="4"/>
        <v>662044.44444444403</v>
      </c>
      <c r="G37" s="165">
        <f t="shared" si="5"/>
        <v>118448.81040069976</v>
      </c>
      <c r="H37" s="147">
        <f t="shared" si="6"/>
        <v>118448.81040069976</v>
      </c>
      <c r="I37" s="160">
        <f t="shared" si="7"/>
        <v>0</v>
      </c>
      <c r="J37" s="160"/>
      <c r="K37" s="330"/>
      <c r="L37" s="162">
        <f t="shared" si="0"/>
        <v>0</v>
      </c>
      <c r="M37" s="330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662044.44444444403</v>
      </c>
      <c r="E38" s="164">
        <f t="shared" si="3"/>
        <v>27022.222222222223</v>
      </c>
      <c r="F38" s="163">
        <f t="shared" si="4"/>
        <v>635022.22222222178</v>
      </c>
      <c r="G38" s="165">
        <f t="shared" si="5"/>
        <v>114791.74687356065</v>
      </c>
      <c r="H38" s="147">
        <f t="shared" si="6"/>
        <v>114791.74687356065</v>
      </c>
      <c r="I38" s="160">
        <f t="shared" si="7"/>
        <v>0</v>
      </c>
      <c r="J38" s="160"/>
      <c r="K38" s="330"/>
      <c r="L38" s="162">
        <f t="shared" si="0"/>
        <v>0</v>
      </c>
      <c r="M38" s="330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635022.22222222178</v>
      </c>
      <c r="E39" s="164">
        <f t="shared" si="3"/>
        <v>27022.222222222223</v>
      </c>
      <c r="F39" s="163">
        <f t="shared" si="4"/>
        <v>607999.99999999953</v>
      </c>
      <c r="G39" s="165">
        <f t="shared" si="5"/>
        <v>111134.68334642155</v>
      </c>
      <c r="H39" s="147">
        <f t="shared" si="6"/>
        <v>111134.68334642155</v>
      </c>
      <c r="I39" s="160">
        <f t="shared" si="7"/>
        <v>0</v>
      </c>
      <c r="J39" s="160"/>
      <c r="K39" s="330"/>
      <c r="L39" s="162">
        <f t="shared" si="0"/>
        <v>0</v>
      </c>
      <c r="M39" s="330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607999.99999999953</v>
      </c>
      <c r="E40" s="164">
        <f t="shared" si="3"/>
        <v>27022.222222222223</v>
      </c>
      <c r="F40" s="163">
        <f t="shared" si="4"/>
        <v>580977.77777777729</v>
      </c>
      <c r="G40" s="165">
        <f t="shared" si="5"/>
        <v>107477.61981928244</v>
      </c>
      <c r="H40" s="147">
        <f t="shared" si="6"/>
        <v>107477.61981928244</v>
      </c>
      <c r="I40" s="160">
        <f t="shared" si="7"/>
        <v>0</v>
      </c>
      <c r="J40" s="160"/>
      <c r="K40" s="330"/>
      <c r="L40" s="162">
        <f t="shared" si="0"/>
        <v>0</v>
      </c>
      <c r="M40" s="330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580977.77777777729</v>
      </c>
      <c r="E41" s="164">
        <f t="shared" si="3"/>
        <v>27022.222222222223</v>
      </c>
      <c r="F41" s="163">
        <f t="shared" si="4"/>
        <v>553955.55555555504</v>
      </c>
      <c r="G41" s="165">
        <f t="shared" si="5"/>
        <v>103820.55629214333</v>
      </c>
      <c r="H41" s="147">
        <f t="shared" si="6"/>
        <v>103820.55629214333</v>
      </c>
      <c r="I41" s="160">
        <f t="shared" si="7"/>
        <v>0</v>
      </c>
      <c r="J41" s="160"/>
      <c r="K41" s="330"/>
      <c r="L41" s="162">
        <f t="shared" si="0"/>
        <v>0</v>
      </c>
      <c r="M41" s="330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553955.55555555504</v>
      </c>
      <c r="E42" s="164">
        <f t="shared" si="3"/>
        <v>27022.222222222223</v>
      </c>
      <c r="F42" s="163">
        <f t="shared" si="4"/>
        <v>526933.33333333279</v>
      </c>
      <c r="G42" s="165">
        <f t="shared" si="5"/>
        <v>100163.49276500422</v>
      </c>
      <c r="H42" s="147">
        <f t="shared" si="6"/>
        <v>100163.49276500422</v>
      </c>
      <c r="I42" s="160">
        <f t="shared" si="7"/>
        <v>0</v>
      </c>
      <c r="J42" s="160"/>
      <c r="K42" s="330"/>
      <c r="L42" s="162">
        <f t="shared" si="0"/>
        <v>0</v>
      </c>
      <c r="M42" s="330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526933.33333333279</v>
      </c>
      <c r="E43" s="164">
        <f t="shared" si="3"/>
        <v>27022.222222222223</v>
      </c>
      <c r="F43" s="163">
        <f t="shared" si="4"/>
        <v>499911.11111111054</v>
      </c>
      <c r="G43" s="165">
        <f t="shared" si="5"/>
        <v>96506.429237865115</v>
      </c>
      <c r="H43" s="147">
        <f t="shared" si="6"/>
        <v>96506.429237865115</v>
      </c>
      <c r="I43" s="160">
        <f t="shared" si="7"/>
        <v>0</v>
      </c>
      <c r="J43" s="160"/>
      <c r="K43" s="330"/>
      <c r="L43" s="162">
        <f t="shared" si="0"/>
        <v>0</v>
      </c>
      <c r="M43" s="330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499911.11111111054</v>
      </c>
      <c r="E44" s="164">
        <f t="shared" si="3"/>
        <v>27022.222222222223</v>
      </c>
      <c r="F44" s="163">
        <f t="shared" si="4"/>
        <v>472888.88888888829</v>
      </c>
      <c r="G44" s="165">
        <f t="shared" si="5"/>
        <v>92849.365710726008</v>
      </c>
      <c r="H44" s="147">
        <f t="shared" si="6"/>
        <v>92849.365710726008</v>
      </c>
      <c r="I44" s="160">
        <f t="shared" si="7"/>
        <v>0</v>
      </c>
      <c r="J44" s="160"/>
      <c r="K44" s="330"/>
      <c r="L44" s="162">
        <f t="shared" si="0"/>
        <v>0</v>
      </c>
      <c r="M44" s="330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472888.88888888829</v>
      </c>
      <c r="E45" s="164">
        <f t="shared" si="3"/>
        <v>27022.222222222223</v>
      </c>
      <c r="F45" s="163">
        <f t="shared" si="4"/>
        <v>445866.66666666605</v>
      </c>
      <c r="G45" s="165">
        <f t="shared" si="5"/>
        <v>89192.3021835869</v>
      </c>
      <c r="H45" s="147">
        <f t="shared" si="6"/>
        <v>89192.3021835869</v>
      </c>
      <c r="I45" s="160">
        <f t="shared" si="7"/>
        <v>0</v>
      </c>
      <c r="J45" s="160"/>
      <c r="K45" s="330"/>
      <c r="L45" s="162">
        <f t="shared" si="0"/>
        <v>0</v>
      </c>
      <c r="M45" s="330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445866.66666666605</v>
      </c>
      <c r="E46" s="164">
        <f t="shared" si="3"/>
        <v>27022.222222222223</v>
      </c>
      <c r="F46" s="163">
        <f t="shared" si="4"/>
        <v>418844.4444444438</v>
      </c>
      <c r="G46" s="165">
        <f t="shared" si="5"/>
        <v>85535.238656447793</v>
      </c>
      <c r="H46" s="147">
        <f t="shared" si="6"/>
        <v>85535.238656447793</v>
      </c>
      <c r="I46" s="160">
        <f t="shared" si="7"/>
        <v>0</v>
      </c>
      <c r="J46" s="160"/>
      <c r="K46" s="330"/>
      <c r="L46" s="162">
        <f t="shared" si="0"/>
        <v>0</v>
      </c>
      <c r="M46" s="330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418844.4444444438</v>
      </c>
      <c r="E47" s="164">
        <f t="shared" si="3"/>
        <v>27022.222222222223</v>
      </c>
      <c r="F47" s="163">
        <f t="shared" si="4"/>
        <v>391822.22222222155</v>
      </c>
      <c r="G47" s="165">
        <f t="shared" si="5"/>
        <v>81878.175129308685</v>
      </c>
      <c r="H47" s="147">
        <f t="shared" si="6"/>
        <v>81878.175129308685</v>
      </c>
      <c r="I47" s="160">
        <f t="shared" si="7"/>
        <v>0</v>
      </c>
      <c r="J47" s="160"/>
      <c r="K47" s="330"/>
      <c r="L47" s="162">
        <f t="shared" si="0"/>
        <v>0</v>
      </c>
      <c r="M47" s="330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391822.22222222155</v>
      </c>
      <c r="E48" s="164">
        <f t="shared" si="3"/>
        <v>27022.222222222223</v>
      </c>
      <c r="F48" s="163">
        <f t="shared" si="4"/>
        <v>364799.9999999993</v>
      </c>
      <c r="G48" s="165">
        <f t="shared" si="5"/>
        <v>78221.111602169578</v>
      </c>
      <c r="H48" s="147">
        <f t="shared" si="6"/>
        <v>78221.111602169578</v>
      </c>
      <c r="I48" s="160">
        <f t="shared" si="7"/>
        <v>0</v>
      </c>
      <c r="J48" s="160"/>
      <c r="K48" s="330"/>
      <c r="L48" s="162">
        <f t="shared" si="0"/>
        <v>0</v>
      </c>
      <c r="M48" s="330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364799.9999999993</v>
      </c>
      <c r="E49" s="164">
        <f t="shared" si="3"/>
        <v>27022.222222222223</v>
      </c>
      <c r="F49" s="163">
        <f t="shared" si="4"/>
        <v>337777.77777777705</v>
      </c>
      <c r="G49" s="165">
        <f t="shared" si="5"/>
        <v>74564.04807503047</v>
      </c>
      <c r="H49" s="147">
        <f t="shared" si="6"/>
        <v>74564.04807503047</v>
      </c>
      <c r="I49" s="160">
        <f t="shared" si="7"/>
        <v>0</v>
      </c>
      <c r="J49" s="160"/>
      <c r="K49" s="330"/>
      <c r="L49" s="162">
        <f t="shared" si="0"/>
        <v>0</v>
      </c>
      <c r="M49" s="330"/>
      <c r="N49" s="162">
        <f t="shared" si="1"/>
        <v>0</v>
      </c>
      <c r="O49" s="162">
        <f t="shared" si="2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337777.77777777705</v>
      </c>
      <c r="E50" s="164">
        <f t="shared" si="3"/>
        <v>27022.222222222223</v>
      </c>
      <c r="F50" s="163">
        <f t="shared" si="4"/>
        <v>310755.55555555481</v>
      </c>
      <c r="G50" s="165">
        <f t="shared" si="5"/>
        <v>70906.984547891363</v>
      </c>
      <c r="H50" s="147">
        <f t="shared" si="6"/>
        <v>70906.984547891363</v>
      </c>
      <c r="I50" s="160">
        <f t="shared" si="7"/>
        <v>0</v>
      </c>
      <c r="J50" s="160"/>
      <c r="K50" s="330"/>
      <c r="L50" s="162">
        <f t="shared" si="0"/>
        <v>0</v>
      </c>
      <c r="M50" s="330"/>
      <c r="N50" s="162">
        <f t="shared" si="1"/>
        <v>0</v>
      </c>
      <c r="O50" s="162">
        <f t="shared" si="2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310755.55555555481</v>
      </c>
      <c r="E51" s="164">
        <f t="shared" si="3"/>
        <v>27022.222222222223</v>
      </c>
      <c r="F51" s="163">
        <f t="shared" si="4"/>
        <v>283733.33333333256</v>
      </c>
      <c r="G51" s="165">
        <f t="shared" si="5"/>
        <v>67249.921020752256</v>
      </c>
      <c r="H51" s="147">
        <f t="shared" si="6"/>
        <v>67249.921020752256</v>
      </c>
      <c r="I51" s="160">
        <f t="shared" si="7"/>
        <v>0</v>
      </c>
      <c r="J51" s="160"/>
      <c r="K51" s="330"/>
      <c r="L51" s="162">
        <f t="shared" si="0"/>
        <v>0</v>
      </c>
      <c r="M51" s="330"/>
      <c r="N51" s="162">
        <f t="shared" si="1"/>
        <v>0</v>
      </c>
      <c r="O51" s="162">
        <f t="shared" si="2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283733.33333333256</v>
      </c>
      <c r="E52" s="164">
        <f t="shared" si="3"/>
        <v>27022.222222222223</v>
      </c>
      <c r="F52" s="163">
        <f t="shared" si="4"/>
        <v>256711.11111111034</v>
      </c>
      <c r="G52" s="165">
        <f t="shared" si="5"/>
        <v>63592.857493613148</v>
      </c>
      <c r="H52" s="147">
        <f t="shared" si="6"/>
        <v>63592.857493613148</v>
      </c>
      <c r="I52" s="160">
        <f t="shared" si="7"/>
        <v>0</v>
      </c>
      <c r="J52" s="160"/>
      <c r="K52" s="330"/>
      <c r="L52" s="162">
        <f t="shared" si="0"/>
        <v>0</v>
      </c>
      <c r="M52" s="330"/>
      <c r="N52" s="162">
        <f t="shared" si="1"/>
        <v>0</v>
      </c>
      <c r="O52" s="162">
        <f t="shared" si="2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256711.11111111034</v>
      </c>
      <c r="E53" s="164">
        <f t="shared" si="3"/>
        <v>27022.222222222223</v>
      </c>
      <c r="F53" s="163">
        <f t="shared" si="4"/>
        <v>229688.88888888812</v>
      </c>
      <c r="G53" s="165">
        <f t="shared" si="5"/>
        <v>59935.793966474055</v>
      </c>
      <c r="H53" s="147">
        <f t="shared" si="6"/>
        <v>59935.793966474055</v>
      </c>
      <c r="I53" s="160">
        <f t="shared" si="7"/>
        <v>0</v>
      </c>
      <c r="J53" s="160"/>
      <c r="K53" s="330"/>
      <c r="L53" s="162">
        <f t="shared" si="0"/>
        <v>0</v>
      </c>
      <c r="M53" s="330"/>
      <c r="N53" s="162">
        <f t="shared" si="1"/>
        <v>0</v>
      </c>
      <c r="O53" s="162">
        <f t="shared" si="2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229688.88888888812</v>
      </c>
      <c r="E54" s="164">
        <f t="shared" si="3"/>
        <v>27022.222222222223</v>
      </c>
      <c r="F54" s="163">
        <f t="shared" si="4"/>
        <v>202666.6666666659</v>
      </c>
      <c r="G54" s="165">
        <f t="shared" si="5"/>
        <v>56278.730439334948</v>
      </c>
      <c r="H54" s="147">
        <f t="shared" si="6"/>
        <v>56278.730439334948</v>
      </c>
      <c r="I54" s="160">
        <f t="shared" si="7"/>
        <v>0</v>
      </c>
      <c r="J54" s="160"/>
      <c r="K54" s="330"/>
      <c r="L54" s="162">
        <f t="shared" si="0"/>
        <v>0</v>
      </c>
      <c r="M54" s="330"/>
      <c r="N54" s="162">
        <f t="shared" si="1"/>
        <v>0</v>
      </c>
      <c r="O54" s="162">
        <f t="shared" si="2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202666.6666666659</v>
      </c>
      <c r="E55" s="164">
        <f t="shared" si="3"/>
        <v>27022.222222222223</v>
      </c>
      <c r="F55" s="163">
        <f t="shared" si="4"/>
        <v>175644.44444444368</v>
      </c>
      <c r="G55" s="165">
        <f t="shared" si="5"/>
        <v>52621.666912195848</v>
      </c>
      <c r="H55" s="147">
        <f t="shared" si="6"/>
        <v>52621.666912195848</v>
      </c>
      <c r="I55" s="160">
        <f t="shared" si="7"/>
        <v>0</v>
      </c>
      <c r="J55" s="160"/>
      <c r="K55" s="330"/>
      <c r="L55" s="162">
        <f t="shared" si="0"/>
        <v>0</v>
      </c>
      <c r="M55" s="330"/>
      <c r="N55" s="162">
        <f t="shared" si="1"/>
        <v>0</v>
      </c>
      <c r="O55" s="162">
        <f t="shared" si="2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175644.44444444368</v>
      </c>
      <c r="E56" s="164">
        <f t="shared" si="3"/>
        <v>27022.222222222223</v>
      </c>
      <c r="F56" s="163">
        <f t="shared" si="4"/>
        <v>148622.22222222146</v>
      </c>
      <c r="G56" s="165">
        <f t="shared" si="5"/>
        <v>48964.60338505674</v>
      </c>
      <c r="H56" s="147">
        <f t="shared" si="6"/>
        <v>48964.60338505674</v>
      </c>
      <c r="I56" s="160">
        <f t="shared" si="7"/>
        <v>0</v>
      </c>
      <c r="J56" s="160"/>
      <c r="K56" s="330"/>
      <c r="L56" s="162">
        <f t="shared" si="0"/>
        <v>0</v>
      </c>
      <c r="M56" s="330"/>
      <c r="N56" s="162">
        <f t="shared" si="1"/>
        <v>0</v>
      </c>
      <c r="O56" s="162">
        <f t="shared" si="2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148622.22222222146</v>
      </c>
      <c r="E57" s="164">
        <f t="shared" si="3"/>
        <v>27022.222222222223</v>
      </c>
      <c r="F57" s="163">
        <f t="shared" si="4"/>
        <v>121599.99999999924</v>
      </c>
      <c r="G57" s="165">
        <f t="shared" si="5"/>
        <v>45307.53985791764</v>
      </c>
      <c r="H57" s="147">
        <f t="shared" si="6"/>
        <v>45307.53985791764</v>
      </c>
      <c r="I57" s="160">
        <f t="shared" si="7"/>
        <v>0</v>
      </c>
      <c r="J57" s="160"/>
      <c r="K57" s="330"/>
      <c r="L57" s="162">
        <f t="shared" si="0"/>
        <v>0</v>
      </c>
      <c r="M57" s="330"/>
      <c r="N57" s="162">
        <f t="shared" si="1"/>
        <v>0</v>
      </c>
      <c r="O57" s="162">
        <f t="shared" si="2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121599.99999999924</v>
      </c>
      <c r="E58" s="164">
        <f t="shared" si="3"/>
        <v>27022.222222222223</v>
      </c>
      <c r="F58" s="163">
        <f t="shared" si="4"/>
        <v>94577.777777777024</v>
      </c>
      <c r="G58" s="165">
        <f t="shared" si="5"/>
        <v>41650.476330778532</v>
      </c>
      <c r="H58" s="147">
        <f t="shared" si="6"/>
        <v>41650.476330778532</v>
      </c>
      <c r="I58" s="160">
        <f t="shared" si="7"/>
        <v>0</v>
      </c>
      <c r="J58" s="160"/>
      <c r="K58" s="330"/>
      <c r="L58" s="162">
        <f t="shared" si="0"/>
        <v>0</v>
      </c>
      <c r="M58" s="330"/>
      <c r="N58" s="162">
        <f t="shared" si="1"/>
        <v>0</v>
      </c>
      <c r="O58" s="162">
        <f t="shared" si="2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94577.777777777024</v>
      </c>
      <c r="E59" s="164">
        <f t="shared" si="3"/>
        <v>27022.222222222223</v>
      </c>
      <c r="F59" s="163">
        <f t="shared" si="4"/>
        <v>67555.555555554805</v>
      </c>
      <c r="G59" s="165">
        <f t="shared" si="5"/>
        <v>37993.412803639432</v>
      </c>
      <c r="H59" s="147">
        <f t="shared" si="6"/>
        <v>37993.412803639432</v>
      </c>
      <c r="I59" s="160">
        <f t="shared" si="7"/>
        <v>0</v>
      </c>
      <c r="J59" s="160"/>
      <c r="K59" s="330"/>
      <c r="L59" s="162">
        <f t="shared" si="0"/>
        <v>0</v>
      </c>
      <c r="M59" s="330"/>
      <c r="N59" s="162">
        <f t="shared" si="1"/>
        <v>0</v>
      </c>
      <c r="O59" s="162">
        <f t="shared" si="2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67555.555555554805</v>
      </c>
      <c r="E60" s="164">
        <f t="shared" si="3"/>
        <v>27022.222222222223</v>
      </c>
      <c r="F60" s="163">
        <f t="shared" si="4"/>
        <v>40533.333333332586</v>
      </c>
      <c r="G60" s="165">
        <f t="shared" si="5"/>
        <v>34336.349276500332</v>
      </c>
      <c r="H60" s="147">
        <f t="shared" si="6"/>
        <v>34336.349276500332</v>
      </c>
      <c r="I60" s="160">
        <f t="shared" si="7"/>
        <v>0</v>
      </c>
      <c r="J60" s="160"/>
      <c r="K60" s="330"/>
      <c r="L60" s="162">
        <f t="shared" si="0"/>
        <v>0</v>
      </c>
      <c r="M60" s="330"/>
      <c r="N60" s="162">
        <f t="shared" si="1"/>
        <v>0</v>
      </c>
      <c r="O60" s="162">
        <f t="shared" si="2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40533.333333332586</v>
      </c>
      <c r="E61" s="164">
        <f t="shared" si="3"/>
        <v>27022.222222222223</v>
      </c>
      <c r="F61" s="163">
        <f t="shared" si="4"/>
        <v>13511.111111110364</v>
      </c>
      <c r="G61" s="165">
        <f t="shared" si="5"/>
        <v>30679.285749361225</v>
      </c>
      <c r="H61" s="147">
        <f t="shared" si="6"/>
        <v>30679.285749361225</v>
      </c>
      <c r="I61" s="160">
        <f t="shared" si="7"/>
        <v>0</v>
      </c>
      <c r="J61" s="160"/>
      <c r="K61" s="330"/>
      <c r="L61" s="162">
        <f t="shared" si="0"/>
        <v>0</v>
      </c>
      <c r="M61" s="330"/>
      <c r="N61" s="162">
        <f t="shared" si="1"/>
        <v>0</v>
      </c>
      <c r="O61" s="162">
        <f t="shared" si="2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13511.111111110364</v>
      </c>
      <c r="E62" s="164">
        <f t="shared" si="3"/>
        <v>13511.111111110364</v>
      </c>
      <c r="F62" s="163">
        <f t="shared" si="4"/>
        <v>0</v>
      </c>
      <c r="G62" s="165">
        <f t="shared" si="5"/>
        <v>14425.37699289509</v>
      </c>
      <c r="H62" s="147">
        <f t="shared" si="6"/>
        <v>14425.37699289509</v>
      </c>
      <c r="I62" s="160">
        <f t="shared" si="7"/>
        <v>0</v>
      </c>
      <c r="J62" s="160"/>
      <c r="K62" s="330"/>
      <c r="L62" s="162">
        <f t="shared" si="0"/>
        <v>0</v>
      </c>
      <c r="M62" s="330"/>
      <c r="N62" s="162">
        <f t="shared" si="1"/>
        <v>0</v>
      </c>
      <c r="O62" s="162">
        <f t="shared" si="2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0"/>
      <c r="L63" s="162">
        <f t="shared" si="0"/>
        <v>0</v>
      </c>
      <c r="M63" s="330"/>
      <c r="N63" s="162">
        <f t="shared" si="1"/>
        <v>0</v>
      </c>
      <c r="O63" s="162">
        <f t="shared" si="2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0"/>
      <c r="L64" s="162">
        <f t="shared" si="0"/>
        <v>0</v>
      </c>
      <c r="M64" s="330"/>
      <c r="N64" s="162">
        <f t="shared" si="1"/>
        <v>0</v>
      </c>
      <c r="O64" s="162">
        <f t="shared" si="2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0"/>
      <c r="L65" s="162">
        <f t="shared" si="0"/>
        <v>0</v>
      </c>
      <c r="M65" s="330"/>
      <c r="N65" s="162">
        <f t="shared" si="1"/>
        <v>0</v>
      </c>
      <c r="O65" s="162">
        <f t="shared" si="2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0"/>
      <c r="L66" s="162">
        <f t="shared" si="0"/>
        <v>0</v>
      </c>
      <c r="M66" s="330"/>
      <c r="N66" s="162">
        <f t="shared" si="1"/>
        <v>0</v>
      </c>
      <c r="O66" s="162">
        <f t="shared" si="2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0"/>
      <c r="L67" s="162">
        <f t="shared" si="0"/>
        <v>0</v>
      </c>
      <c r="M67" s="330"/>
      <c r="N67" s="162">
        <f t="shared" si="1"/>
        <v>0</v>
      </c>
      <c r="O67" s="162">
        <f t="shared" si="2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0"/>
      <c r="L68" s="162">
        <f t="shared" si="0"/>
        <v>0</v>
      </c>
      <c r="M68" s="330"/>
      <c r="N68" s="162">
        <f t="shared" si="1"/>
        <v>0</v>
      </c>
      <c r="O68" s="162">
        <f t="shared" si="2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0"/>
      <c r="L69" s="162">
        <f t="shared" si="0"/>
        <v>0</v>
      </c>
      <c r="M69" s="330"/>
      <c r="N69" s="162">
        <f t="shared" si="1"/>
        <v>0</v>
      </c>
      <c r="O69" s="162">
        <f t="shared" si="2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0"/>
      <c r="L70" s="162">
        <f t="shared" si="0"/>
        <v>0</v>
      </c>
      <c r="M70" s="330"/>
      <c r="N70" s="162">
        <f t="shared" si="1"/>
        <v>0</v>
      </c>
      <c r="O70" s="162">
        <f t="shared" si="2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0"/>
      <c r="L71" s="162">
        <f t="shared" si="0"/>
        <v>0</v>
      </c>
      <c r="M71" s="330"/>
      <c r="N71" s="162">
        <f t="shared" si="1"/>
        <v>0</v>
      </c>
      <c r="O71" s="162">
        <f t="shared" si="2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36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2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1"/>
      <c r="L72" s="173">
        <f t="shared" si="0"/>
        <v>0</v>
      </c>
      <c r="M72" s="331"/>
      <c r="N72" s="173">
        <f t="shared" si="1"/>
        <v>0</v>
      </c>
      <c r="O72" s="173">
        <f t="shared" si="2"/>
        <v>0</v>
      </c>
      <c r="P72" s="4"/>
    </row>
    <row r="73" spans="2:16">
      <c r="C73" s="158" t="s">
        <v>77</v>
      </c>
      <c r="D73" s="115"/>
      <c r="E73" s="115">
        <f>SUM(E17:E72)</f>
        <v>1216000</v>
      </c>
      <c r="F73" s="115"/>
      <c r="G73" s="115">
        <f>SUM(G17:G72)</f>
        <v>4918776.8212283393</v>
      </c>
      <c r="H73" s="115">
        <f>SUM(H17:H72)</f>
        <v>4918776.8212283393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24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94880.774589956171</v>
      </c>
      <c r="N87" s="202">
        <f>IF(J92&lt;D11,0,VLOOKUP(J92,C17:O72,11))</f>
        <v>94880.774589956171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67545.501753910357</v>
      </c>
      <c r="N88" s="204">
        <f>IF(J92&lt;D11,0,VLOOKUP(J92,C99:P154,7))</f>
        <v>67545.501753910357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Duncan-Comanche Tap 69 KV Rebuild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-27335.272836045813</v>
      </c>
      <c r="N89" s="207">
        <f>+N88-N87</f>
        <v>-27335.272836045813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TP2015191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v>1314939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2018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30580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0</v>
      </c>
      <c r="F99" s="163">
        <f>IF(D93=C99,+D92-E99,+D99-E99)</f>
        <v>1314939</v>
      </c>
      <c r="G99" s="218">
        <f>+(F99+D99)/2</f>
        <v>657469.5</v>
      </c>
      <c r="H99" s="218">
        <f>+J$94*G99+E99</f>
        <v>67545.501753910357</v>
      </c>
      <c r="I99" s="218">
        <f>+J$95*G99+E99</f>
        <v>67545.501753910357</v>
      </c>
      <c r="J99" s="162">
        <f>+I99-H99</f>
        <v>0</v>
      </c>
      <c r="K99" s="162"/>
      <c r="L99" s="329"/>
      <c r="M99" s="161">
        <f t="shared" ref="M99:M130" si="9">IF(L99&lt;&gt;0,+H99-L99,0)</f>
        <v>0</v>
      </c>
      <c r="N99" s="329"/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1314939</v>
      </c>
      <c r="E100" s="164">
        <f>IF(+J$96&lt;F99,J$96,D100)</f>
        <v>30580</v>
      </c>
      <c r="F100" s="163">
        <f>+D100-E100</f>
        <v>1284359</v>
      </c>
      <c r="G100" s="163">
        <f>+(F100+D100)/2</f>
        <v>1299649</v>
      </c>
      <c r="H100" s="328">
        <f t="shared" ref="H100:H154" si="12">+J$94*G100+E100</f>
        <v>164100.17669103714</v>
      </c>
      <c r="I100" s="339">
        <f t="shared" ref="I100:I154" si="13">+J$95*G100+E100</f>
        <v>164100.17669103714</v>
      </c>
      <c r="J100" s="162">
        <f t="shared" ref="J100:J130" si="14">+I100-H100</f>
        <v>0</v>
      </c>
      <c r="K100" s="162"/>
      <c r="L100" s="330"/>
      <c r="M100" s="162">
        <f t="shared" si="9"/>
        <v>0</v>
      </c>
      <c r="N100" s="330"/>
      <c r="O100" s="162">
        <f t="shared" si="10"/>
        <v>0</v>
      </c>
      <c r="P100" s="162">
        <f t="shared" si="11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1284359</v>
      </c>
      <c r="E101" s="164">
        <f t="shared" ref="E101:E154" si="16">IF(+J$96&lt;F100,J$96,D101)</f>
        <v>30580</v>
      </c>
      <c r="F101" s="163">
        <f t="shared" ref="F101:F154" si="17">+D101-E101</f>
        <v>1253779</v>
      </c>
      <c r="G101" s="163">
        <f t="shared" ref="G101:G154" si="18">+(F101+D101)/2</f>
        <v>1269069</v>
      </c>
      <c r="H101" s="328">
        <f t="shared" si="12"/>
        <v>160958.52305746998</v>
      </c>
      <c r="I101" s="339">
        <f t="shared" si="13"/>
        <v>160958.52305746998</v>
      </c>
      <c r="J101" s="162">
        <f t="shared" si="14"/>
        <v>0</v>
      </c>
      <c r="K101" s="162"/>
      <c r="L101" s="330"/>
      <c r="M101" s="162">
        <f t="shared" si="9"/>
        <v>0</v>
      </c>
      <c r="N101" s="330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1253779</v>
      </c>
      <c r="E102" s="164">
        <f t="shared" si="16"/>
        <v>30580</v>
      </c>
      <c r="F102" s="163">
        <f t="shared" si="17"/>
        <v>1223199</v>
      </c>
      <c r="G102" s="163">
        <f t="shared" si="18"/>
        <v>1238489</v>
      </c>
      <c r="H102" s="328">
        <f t="shared" si="12"/>
        <v>157816.86942390283</v>
      </c>
      <c r="I102" s="339">
        <f t="shared" si="13"/>
        <v>157816.86942390283</v>
      </c>
      <c r="J102" s="162">
        <f t="shared" si="14"/>
        <v>0</v>
      </c>
      <c r="K102" s="162"/>
      <c r="L102" s="330"/>
      <c r="M102" s="162">
        <f t="shared" si="9"/>
        <v>0</v>
      </c>
      <c r="N102" s="330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1223199</v>
      </c>
      <c r="E103" s="164">
        <f t="shared" si="16"/>
        <v>30580</v>
      </c>
      <c r="F103" s="163">
        <f t="shared" si="17"/>
        <v>1192619</v>
      </c>
      <c r="G103" s="163">
        <f t="shared" si="18"/>
        <v>1207909</v>
      </c>
      <c r="H103" s="328">
        <f t="shared" si="12"/>
        <v>154675.21579033567</v>
      </c>
      <c r="I103" s="339">
        <f t="shared" si="13"/>
        <v>154675.21579033567</v>
      </c>
      <c r="J103" s="162">
        <f t="shared" si="14"/>
        <v>0</v>
      </c>
      <c r="K103" s="162"/>
      <c r="L103" s="330"/>
      <c r="M103" s="162">
        <f t="shared" si="9"/>
        <v>0</v>
      </c>
      <c r="N103" s="330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1192619</v>
      </c>
      <c r="E104" s="164">
        <f t="shared" si="16"/>
        <v>30580</v>
      </c>
      <c r="F104" s="163">
        <f t="shared" si="17"/>
        <v>1162039</v>
      </c>
      <c r="G104" s="163">
        <f t="shared" si="18"/>
        <v>1177329</v>
      </c>
      <c r="H104" s="328">
        <f t="shared" si="12"/>
        <v>151533.56215676852</v>
      </c>
      <c r="I104" s="339">
        <f t="shared" si="13"/>
        <v>151533.56215676852</v>
      </c>
      <c r="J104" s="162">
        <f t="shared" si="14"/>
        <v>0</v>
      </c>
      <c r="K104" s="162"/>
      <c r="L104" s="330"/>
      <c r="M104" s="162">
        <f t="shared" si="9"/>
        <v>0</v>
      </c>
      <c r="N104" s="330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1162039</v>
      </c>
      <c r="E105" s="164">
        <f t="shared" si="16"/>
        <v>30580</v>
      </c>
      <c r="F105" s="163">
        <f t="shared" si="17"/>
        <v>1131459</v>
      </c>
      <c r="G105" s="163">
        <f t="shared" si="18"/>
        <v>1146749</v>
      </c>
      <c r="H105" s="328">
        <f t="shared" si="12"/>
        <v>148391.90852320136</v>
      </c>
      <c r="I105" s="339">
        <f t="shared" si="13"/>
        <v>148391.90852320136</v>
      </c>
      <c r="J105" s="162">
        <f t="shared" si="14"/>
        <v>0</v>
      </c>
      <c r="K105" s="162"/>
      <c r="L105" s="330"/>
      <c r="M105" s="162">
        <f t="shared" si="9"/>
        <v>0</v>
      </c>
      <c r="N105" s="330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1131459</v>
      </c>
      <c r="E106" s="164">
        <f t="shared" si="16"/>
        <v>30580</v>
      </c>
      <c r="F106" s="163">
        <f t="shared" si="17"/>
        <v>1100879</v>
      </c>
      <c r="G106" s="163">
        <f t="shared" si="18"/>
        <v>1116169</v>
      </c>
      <c r="H106" s="328">
        <f t="shared" si="12"/>
        <v>145250.25488963421</v>
      </c>
      <c r="I106" s="339">
        <f t="shared" si="13"/>
        <v>145250.25488963421</v>
      </c>
      <c r="J106" s="162">
        <f t="shared" si="14"/>
        <v>0</v>
      </c>
      <c r="K106" s="162"/>
      <c r="L106" s="330"/>
      <c r="M106" s="162">
        <f t="shared" si="9"/>
        <v>0</v>
      </c>
      <c r="N106" s="330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1100879</v>
      </c>
      <c r="E107" s="164">
        <f t="shared" si="16"/>
        <v>30580</v>
      </c>
      <c r="F107" s="163">
        <f t="shared" si="17"/>
        <v>1070299</v>
      </c>
      <c r="G107" s="163">
        <f t="shared" si="18"/>
        <v>1085589</v>
      </c>
      <c r="H107" s="328">
        <f t="shared" si="12"/>
        <v>142108.60125606705</v>
      </c>
      <c r="I107" s="339">
        <f t="shared" si="13"/>
        <v>142108.60125606705</v>
      </c>
      <c r="J107" s="162">
        <f t="shared" si="14"/>
        <v>0</v>
      </c>
      <c r="K107" s="162"/>
      <c r="L107" s="330"/>
      <c r="M107" s="162">
        <f t="shared" si="9"/>
        <v>0</v>
      </c>
      <c r="N107" s="330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1070299</v>
      </c>
      <c r="E108" s="164">
        <f t="shared" si="16"/>
        <v>30580</v>
      </c>
      <c r="F108" s="163">
        <f t="shared" si="17"/>
        <v>1039719</v>
      </c>
      <c r="G108" s="163">
        <f t="shared" si="18"/>
        <v>1055009</v>
      </c>
      <c r="H108" s="328">
        <f t="shared" si="12"/>
        <v>138966.94762249989</v>
      </c>
      <c r="I108" s="339">
        <f t="shared" si="13"/>
        <v>138966.94762249989</v>
      </c>
      <c r="J108" s="162">
        <f t="shared" si="14"/>
        <v>0</v>
      </c>
      <c r="K108" s="162"/>
      <c r="L108" s="330"/>
      <c r="M108" s="162">
        <f t="shared" si="9"/>
        <v>0</v>
      </c>
      <c r="N108" s="330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1039719</v>
      </c>
      <c r="E109" s="164">
        <f t="shared" si="16"/>
        <v>30580</v>
      </c>
      <c r="F109" s="163">
        <f t="shared" si="17"/>
        <v>1009139</v>
      </c>
      <c r="G109" s="163">
        <f t="shared" si="18"/>
        <v>1024429</v>
      </c>
      <c r="H109" s="328">
        <f t="shared" si="12"/>
        <v>135825.29398893274</v>
      </c>
      <c r="I109" s="339">
        <f t="shared" si="13"/>
        <v>135825.29398893274</v>
      </c>
      <c r="J109" s="162">
        <f t="shared" si="14"/>
        <v>0</v>
      </c>
      <c r="K109" s="162"/>
      <c r="L109" s="330"/>
      <c r="M109" s="162">
        <f t="shared" si="9"/>
        <v>0</v>
      </c>
      <c r="N109" s="330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1009139</v>
      </c>
      <c r="E110" s="164">
        <f t="shared" si="16"/>
        <v>30580</v>
      </c>
      <c r="F110" s="163">
        <f t="shared" si="17"/>
        <v>978559</v>
      </c>
      <c r="G110" s="163">
        <f t="shared" si="18"/>
        <v>993849</v>
      </c>
      <c r="H110" s="328">
        <f t="shared" si="12"/>
        <v>132683.64035536561</v>
      </c>
      <c r="I110" s="339">
        <f t="shared" si="13"/>
        <v>132683.64035536561</v>
      </c>
      <c r="J110" s="162">
        <f t="shared" si="14"/>
        <v>0</v>
      </c>
      <c r="K110" s="162"/>
      <c r="L110" s="330"/>
      <c r="M110" s="162">
        <f t="shared" si="9"/>
        <v>0</v>
      </c>
      <c r="N110" s="330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978559</v>
      </c>
      <c r="E111" s="164">
        <f t="shared" si="16"/>
        <v>30580</v>
      </c>
      <c r="F111" s="163">
        <f t="shared" si="17"/>
        <v>947979</v>
      </c>
      <c r="G111" s="163">
        <f t="shared" si="18"/>
        <v>963269</v>
      </c>
      <c r="H111" s="328">
        <f t="shared" si="12"/>
        <v>129541.98672179846</v>
      </c>
      <c r="I111" s="339">
        <f t="shared" si="13"/>
        <v>129541.98672179846</v>
      </c>
      <c r="J111" s="162">
        <f t="shared" si="14"/>
        <v>0</v>
      </c>
      <c r="K111" s="162"/>
      <c r="L111" s="330"/>
      <c r="M111" s="162">
        <f t="shared" si="9"/>
        <v>0</v>
      </c>
      <c r="N111" s="330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947979</v>
      </c>
      <c r="E112" s="164">
        <f t="shared" si="16"/>
        <v>30580</v>
      </c>
      <c r="F112" s="163">
        <f t="shared" si="17"/>
        <v>917399</v>
      </c>
      <c r="G112" s="163">
        <f t="shared" si="18"/>
        <v>932689</v>
      </c>
      <c r="H112" s="328">
        <f t="shared" si="12"/>
        <v>126400.3330882313</v>
      </c>
      <c r="I112" s="339">
        <f t="shared" si="13"/>
        <v>126400.3330882313</v>
      </c>
      <c r="J112" s="162">
        <f t="shared" si="14"/>
        <v>0</v>
      </c>
      <c r="K112" s="162"/>
      <c r="L112" s="330"/>
      <c r="M112" s="162">
        <f t="shared" si="9"/>
        <v>0</v>
      </c>
      <c r="N112" s="330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917399</v>
      </c>
      <c r="E113" s="164">
        <f t="shared" si="16"/>
        <v>30580</v>
      </c>
      <c r="F113" s="163">
        <f t="shared" si="17"/>
        <v>886819</v>
      </c>
      <c r="G113" s="163">
        <f t="shared" si="18"/>
        <v>902109</v>
      </c>
      <c r="H113" s="328">
        <f t="shared" si="12"/>
        <v>123258.67945466415</v>
      </c>
      <c r="I113" s="339">
        <f t="shared" si="13"/>
        <v>123258.67945466415</v>
      </c>
      <c r="J113" s="162">
        <f t="shared" si="14"/>
        <v>0</v>
      </c>
      <c r="K113" s="162"/>
      <c r="L113" s="330"/>
      <c r="M113" s="162">
        <f t="shared" si="9"/>
        <v>0</v>
      </c>
      <c r="N113" s="330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886819</v>
      </c>
      <c r="E114" s="164">
        <f t="shared" si="16"/>
        <v>30580</v>
      </c>
      <c r="F114" s="163">
        <f t="shared" si="17"/>
        <v>856239</v>
      </c>
      <c r="G114" s="163">
        <f t="shared" si="18"/>
        <v>871529</v>
      </c>
      <c r="H114" s="328">
        <f t="shared" si="12"/>
        <v>120117.02582109701</v>
      </c>
      <c r="I114" s="339">
        <f t="shared" si="13"/>
        <v>120117.02582109701</v>
      </c>
      <c r="J114" s="162">
        <f t="shared" si="14"/>
        <v>0</v>
      </c>
      <c r="K114" s="162"/>
      <c r="L114" s="330"/>
      <c r="M114" s="162">
        <f t="shared" si="9"/>
        <v>0</v>
      </c>
      <c r="N114" s="330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856239</v>
      </c>
      <c r="E115" s="164">
        <f t="shared" si="16"/>
        <v>30580</v>
      </c>
      <c r="F115" s="163">
        <f t="shared" si="17"/>
        <v>825659</v>
      </c>
      <c r="G115" s="163">
        <f t="shared" si="18"/>
        <v>840949</v>
      </c>
      <c r="H115" s="328">
        <f t="shared" si="12"/>
        <v>116975.37218752985</v>
      </c>
      <c r="I115" s="339">
        <f t="shared" si="13"/>
        <v>116975.37218752985</v>
      </c>
      <c r="J115" s="162">
        <f t="shared" si="14"/>
        <v>0</v>
      </c>
      <c r="K115" s="162"/>
      <c r="L115" s="330"/>
      <c r="M115" s="162">
        <f t="shared" si="9"/>
        <v>0</v>
      </c>
      <c r="N115" s="330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825659</v>
      </c>
      <c r="E116" s="164">
        <f t="shared" si="16"/>
        <v>30580</v>
      </c>
      <c r="F116" s="163">
        <f t="shared" si="17"/>
        <v>795079</v>
      </c>
      <c r="G116" s="163">
        <f t="shared" si="18"/>
        <v>810369</v>
      </c>
      <c r="H116" s="328">
        <f t="shared" si="12"/>
        <v>113833.7185539627</v>
      </c>
      <c r="I116" s="339">
        <f t="shared" si="13"/>
        <v>113833.7185539627</v>
      </c>
      <c r="J116" s="162">
        <f t="shared" si="14"/>
        <v>0</v>
      </c>
      <c r="K116" s="162"/>
      <c r="L116" s="330"/>
      <c r="M116" s="162">
        <f t="shared" si="9"/>
        <v>0</v>
      </c>
      <c r="N116" s="330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795079</v>
      </c>
      <c r="E117" s="164">
        <f t="shared" si="16"/>
        <v>30580</v>
      </c>
      <c r="F117" s="163">
        <f t="shared" si="17"/>
        <v>764499</v>
      </c>
      <c r="G117" s="163">
        <f t="shared" si="18"/>
        <v>779789</v>
      </c>
      <c r="H117" s="328">
        <f t="shared" si="12"/>
        <v>110692.06492039554</v>
      </c>
      <c r="I117" s="339">
        <f t="shared" si="13"/>
        <v>110692.06492039554</v>
      </c>
      <c r="J117" s="162">
        <f t="shared" si="14"/>
        <v>0</v>
      </c>
      <c r="K117" s="162"/>
      <c r="L117" s="330"/>
      <c r="M117" s="162">
        <f t="shared" si="9"/>
        <v>0</v>
      </c>
      <c r="N117" s="330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764499</v>
      </c>
      <c r="E118" s="164">
        <f t="shared" si="16"/>
        <v>30580</v>
      </c>
      <c r="F118" s="163">
        <f t="shared" si="17"/>
        <v>733919</v>
      </c>
      <c r="G118" s="163">
        <f t="shared" si="18"/>
        <v>749209</v>
      </c>
      <c r="H118" s="328">
        <f t="shared" si="12"/>
        <v>107550.4112868284</v>
      </c>
      <c r="I118" s="339">
        <f t="shared" si="13"/>
        <v>107550.4112868284</v>
      </c>
      <c r="J118" s="162">
        <f t="shared" si="14"/>
        <v>0</v>
      </c>
      <c r="K118" s="162"/>
      <c r="L118" s="330"/>
      <c r="M118" s="162">
        <f t="shared" si="9"/>
        <v>0</v>
      </c>
      <c r="N118" s="330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733919</v>
      </c>
      <c r="E119" s="164">
        <f t="shared" si="16"/>
        <v>30580</v>
      </c>
      <c r="F119" s="163">
        <f t="shared" si="17"/>
        <v>703339</v>
      </c>
      <c r="G119" s="163">
        <f t="shared" si="18"/>
        <v>718629</v>
      </c>
      <c r="H119" s="328">
        <f t="shared" si="12"/>
        <v>104408.75765326124</v>
      </c>
      <c r="I119" s="339">
        <f t="shared" si="13"/>
        <v>104408.75765326124</v>
      </c>
      <c r="J119" s="162">
        <f t="shared" si="14"/>
        <v>0</v>
      </c>
      <c r="K119" s="162"/>
      <c r="L119" s="330"/>
      <c r="M119" s="162">
        <f t="shared" si="9"/>
        <v>0</v>
      </c>
      <c r="N119" s="330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703339</v>
      </c>
      <c r="E120" s="164">
        <f t="shared" si="16"/>
        <v>30580</v>
      </c>
      <c r="F120" s="163">
        <f t="shared" si="17"/>
        <v>672759</v>
      </c>
      <c r="G120" s="163">
        <f t="shared" si="18"/>
        <v>688049</v>
      </c>
      <c r="H120" s="328">
        <f t="shared" si="12"/>
        <v>101267.10401969409</v>
      </c>
      <c r="I120" s="339">
        <f t="shared" si="13"/>
        <v>101267.10401969409</v>
      </c>
      <c r="J120" s="162">
        <f t="shared" si="14"/>
        <v>0</v>
      </c>
      <c r="K120" s="162"/>
      <c r="L120" s="330"/>
      <c r="M120" s="162">
        <f t="shared" si="9"/>
        <v>0</v>
      </c>
      <c r="N120" s="330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672759</v>
      </c>
      <c r="E121" s="164">
        <f t="shared" si="16"/>
        <v>30580</v>
      </c>
      <c r="F121" s="163">
        <f t="shared" si="17"/>
        <v>642179</v>
      </c>
      <c r="G121" s="163">
        <f t="shared" si="18"/>
        <v>657469</v>
      </c>
      <c r="H121" s="328">
        <f t="shared" si="12"/>
        <v>98125.450386126933</v>
      </c>
      <c r="I121" s="339">
        <f t="shared" si="13"/>
        <v>98125.450386126933</v>
      </c>
      <c r="J121" s="162">
        <f t="shared" si="14"/>
        <v>0</v>
      </c>
      <c r="K121" s="162"/>
      <c r="L121" s="330"/>
      <c r="M121" s="162">
        <f t="shared" si="9"/>
        <v>0</v>
      </c>
      <c r="N121" s="330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642179</v>
      </c>
      <c r="E122" s="164">
        <f t="shared" si="16"/>
        <v>30580</v>
      </c>
      <c r="F122" s="163">
        <f t="shared" si="17"/>
        <v>611599</v>
      </c>
      <c r="G122" s="163">
        <f t="shared" si="18"/>
        <v>626889</v>
      </c>
      <c r="H122" s="328">
        <f t="shared" si="12"/>
        <v>94983.796752559778</v>
      </c>
      <c r="I122" s="339">
        <f t="shared" si="13"/>
        <v>94983.796752559778</v>
      </c>
      <c r="J122" s="162">
        <f t="shared" si="14"/>
        <v>0</v>
      </c>
      <c r="K122" s="162"/>
      <c r="L122" s="330"/>
      <c r="M122" s="162">
        <f t="shared" si="9"/>
        <v>0</v>
      </c>
      <c r="N122" s="330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611599</v>
      </c>
      <c r="E123" s="164">
        <f t="shared" si="16"/>
        <v>30580</v>
      </c>
      <c r="F123" s="163">
        <f t="shared" si="17"/>
        <v>581019</v>
      </c>
      <c r="G123" s="163">
        <f t="shared" si="18"/>
        <v>596309</v>
      </c>
      <c r="H123" s="328">
        <f t="shared" si="12"/>
        <v>91842.143118992622</v>
      </c>
      <c r="I123" s="339">
        <f t="shared" si="13"/>
        <v>91842.143118992622</v>
      </c>
      <c r="J123" s="162">
        <f t="shared" si="14"/>
        <v>0</v>
      </c>
      <c r="K123" s="162"/>
      <c r="L123" s="330"/>
      <c r="M123" s="162">
        <f t="shared" si="9"/>
        <v>0</v>
      </c>
      <c r="N123" s="330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581019</v>
      </c>
      <c r="E124" s="164">
        <f t="shared" si="16"/>
        <v>30580</v>
      </c>
      <c r="F124" s="163">
        <f t="shared" si="17"/>
        <v>550439</v>
      </c>
      <c r="G124" s="163">
        <f t="shared" si="18"/>
        <v>565729</v>
      </c>
      <c r="H124" s="328">
        <f t="shared" si="12"/>
        <v>88700.489485425482</v>
      </c>
      <c r="I124" s="339">
        <f t="shared" si="13"/>
        <v>88700.489485425482</v>
      </c>
      <c r="J124" s="162">
        <f t="shared" si="14"/>
        <v>0</v>
      </c>
      <c r="K124" s="162"/>
      <c r="L124" s="330"/>
      <c r="M124" s="162">
        <f t="shared" si="9"/>
        <v>0</v>
      </c>
      <c r="N124" s="330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550439</v>
      </c>
      <c r="E125" s="164">
        <f t="shared" si="16"/>
        <v>30580</v>
      </c>
      <c r="F125" s="163">
        <f t="shared" si="17"/>
        <v>519859</v>
      </c>
      <c r="G125" s="163">
        <f t="shared" si="18"/>
        <v>535149</v>
      </c>
      <c r="H125" s="328">
        <f t="shared" si="12"/>
        <v>85558.835851858326</v>
      </c>
      <c r="I125" s="339">
        <f t="shared" si="13"/>
        <v>85558.835851858326</v>
      </c>
      <c r="J125" s="162">
        <f t="shared" si="14"/>
        <v>0</v>
      </c>
      <c r="K125" s="162"/>
      <c r="L125" s="330"/>
      <c r="M125" s="162">
        <f t="shared" si="9"/>
        <v>0</v>
      </c>
      <c r="N125" s="330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519859</v>
      </c>
      <c r="E126" s="164">
        <f t="shared" si="16"/>
        <v>30580</v>
      </c>
      <c r="F126" s="163">
        <f t="shared" si="17"/>
        <v>489279</v>
      </c>
      <c r="G126" s="163">
        <f t="shared" si="18"/>
        <v>504569</v>
      </c>
      <c r="H126" s="328">
        <f t="shared" si="12"/>
        <v>82417.182218291186</v>
      </c>
      <c r="I126" s="339">
        <f t="shared" si="13"/>
        <v>82417.182218291186</v>
      </c>
      <c r="J126" s="162">
        <f t="shared" si="14"/>
        <v>0</v>
      </c>
      <c r="K126" s="162"/>
      <c r="L126" s="330"/>
      <c r="M126" s="162">
        <f t="shared" si="9"/>
        <v>0</v>
      </c>
      <c r="N126" s="330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489279</v>
      </c>
      <c r="E127" s="164">
        <f t="shared" si="16"/>
        <v>30580</v>
      </c>
      <c r="F127" s="163">
        <f t="shared" si="17"/>
        <v>458699</v>
      </c>
      <c r="G127" s="163">
        <f t="shared" si="18"/>
        <v>473989</v>
      </c>
      <c r="H127" s="328">
        <f t="shared" si="12"/>
        <v>79275.52858472403</v>
      </c>
      <c r="I127" s="339">
        <f t="shared" si="13"/>
        <v>79275.52858472403</v>
      </c>
      <c r="J127" s="162">
        <f t="shared" si="14"/>
        <v>0</v>
      </c>
      <c r="K127" s="162"/>
      <c r="L127" s="330"/>
      <c r="M127" s="162">
        <f t="shared" si="9"/>
        <v>0</v>
      </c>
      <c r="N127" s="330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458699</v>
      </c>
      <c r="E128" s="164">
        <f t="shared" si="16"/>
        <v>30580</v>
      </c>
      <c r="F128" s="163">
        <f t="shared" si="17"/>
        <v>428119</v>
      </c>
      <c r="G128" s="163">
        <f t="shared" si="18"/>
        <v>443409</v>
      </c>
      <c r="H128" s="328">
        <f t="shared" si="12"/>
        <v>76133.874951156875</v>
      </c>
      <c r="I128" s="339">
        <f t="shared" si="13"/>
        <v>76133.874951156875</v>
      </c>
      <c r="J128" s="162">
        <f t="shared" si="14"/>
        <v>0</v>
      </c>
      <c r="K128" s="162"/>
      <c r="L128" s="330"/>
      <c r="M128" s="162">
        <f t="shared" si="9"/>
        <v>0</v>
      </c>
      <c r="N128" s="330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428119</v>
      </c>
      <c r="E129" s="164">
        <f t="shared" si="16"/>
        <v>30580</v>
      </c>
      <c r="F129" s="163">
        <f t="shared" si="17"/>
        <v>397539</v>
      </c>
      <c r="G129" s="163">
        <f t="shared" si="18"/>
        <v>412829</v>
      </c>
      <c r="H129" s="328">
        <f t="shared" si="12"/>
        <v>72992.22131758972</v>
      </c>
      <c r="I129" s="339">
        <f t="shared" si="13"/>
        <v>72992.22131758972</v>
      </c>
      <c r="J129" s="162">
        <f t="shared" si="14"/>
        <v>0</v>
      </c>
      <c r="K129" s="162"/>
      <c r="L129" s="330"/>
      <c r="M129" s="162">
        <f t="shared" si="9"/>
        <v>0</v>
      </c>
      <c r="N129" s="330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397539</v>
      </c>
      <c r="E130" s="164">
        <f t="shared" si="16"/>
        <v>30580</v>
      </c>
      <c r="F130" s="163">
        <f t="shared" si="17"/>
        <v>366959</v>
      </c>
      <c r="G130" s="163">
        <f t="shared" si="18"/>
        <v>382249</v>
      </c>
      <c r="H130" s="328">
        <f t="shared" si="12"/>
        <v>69850.567684022564</v>
      </c>
      <c r="I130" s="339">
        <f t="shared" si="13"/>
        <v>69850.567684022564</v>
      </c>
      <c r="J130" s="162">
        <f t="shared" si="14"/>
        <v>0</v>
      </c>
      <c r="K130" s="162"/>
      <c r="L130" s="330"/>
      <c r="M130" s="162">
        <f t="shared" si="9"/>
        <v>0</v>
      </c>
      <c r="N130" s="330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366959</v>
      </c>
      <c r="E131" s="164">
        <f t="shared" si="16"/>
        <v>30580</v>
      </c>
      <c r="F131" s="163">
        <f t="shared" si="17"/>
        <v>336379</v>
      </c>
      <c r="G131" s="163">
        <f t="shared" si="18"/>
        <v>351669</v>
      </c>
      <c r="H131" s="328">
        <f t="shared" si="12"/>
        <v>66708.914050455409</v>
      </c>
      <c r="I131" s="339">
        <f t="shared" si="13"/>
        <v>66708.914050455409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336379</v>
      </c>
      <c r="E132" s="164">
        <f t="shared" si="16"/>
        <v>30580</v>
      </c>
      <c r="F132" s="163">
        <f t="shared" si="17"/>
        <v>305799</v>
      </c>
      <c r="G132" s="163">
        <f t="shared" si="18"/>
        <v>321089</v>
      </c>
      <c r="H132" s="328">
        <f t="shared" si="12"/>
        <v>63567.260416888268</v>
      </c>
      <c r="I132" s="339">
        <f t="shared" si="13"/>
        <v>63567.260416888268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305799</v>
      </c>
      <c r="E133" s="164">
        <f t="shared" si="16"/>
        <v>30580</v>
      </c>
      <c r="F133" s="163">
        <f t="shared" si="17"/>
        <v>275219</v>
      </c>
      <c r="G133" s="163">
        <f t="shared" si="18"/>
        <v>290509</v>
      </c>
      <c r="H133" s="328">
        <f t="shared" si="12"/>
        <v>60425.606783321113</v>
      </c>
      <c r="I133" s="339">
        <f t="shared" si="13"/>
        <v>60425.606783321113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275219</v>
      </c>
      <c r="E134" s="164">
        <f t="shared" si="16"/>
        <v>30580</v>
      </c>
      <c r="F134" s="163">
        <f t="shared" si="17"/>
        <v>244639</v>
      </c>
      <c r="G134" s="163">
        <f t="shared" si="18"/>
        <v>259929</v>
      </c>
      <c r="H134" s="328">
        <f t="shared" si="12"/>
        <v>57283.953149753965</v>
      </c>
      <c r="I134" s="339">
        <f t="shared" si="13"/>
        <v>57283.953149753965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244639</v>
      </c>
      <c r="E135" s="164">
        <f t="shared" si="16"/>
        <v>30580</v>
      </c>
      <c r="F135" s="163">
        <f t="shared" si="17"/>
        <v>214059</v>
      </c>
      <c r="G135" s="163">
        <f t="shared" si="18"/>
        <v>229349</v>
      </c>
      <c r="H135" s="328">
        <f t="shared" si="12"/>
        <v>54142.299516186817</v>
      </c>
      <c r="I135" s="339">
        <f t="shared" si="13"/>
        <v>54142.299516186817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214059</v>
      </c>
      <c r="E136" s="164">
        <f t="shared" si="16"/>
        <v>30580</v>
      </c>
      <c r="F136" s="163">
        <f t="shared" si="17"/>
        <v>183479</v>
      </c>
      <c r="G136" s="163">
        <f t="shared" si="18"/>
        <v>198769</v>
      </c>
      <c r="H136" s="328">
        <f t="shared" si="12"/>
        <v>51000.645882619661</v>
      </c>
      <c r="I136" s="339">
        <f t="shared" si="13"/>
        <v>51000.645882619661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183479</v>
      </c>
      <c r="E137" s="164">
        <f t="shared" si="16"/>
        <v>30580</v>
      </c>
      <c r="F137" s="163">
        <f t="shared" si="17"/>
        <v>152899</v>
      </c>
      <c r="G137" s="163">
        <f t="shared" si="18"/>
        <v>168189</v>
      </c>
      <c r="H137" s="328">
        <f t="shared" si="12"/>
        <v>47858.992249052506</v>
      </c>
      <c r="I137" s="339">
        <f t="shared" si="13"/>
        <v>47858.992249052506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152899</v>
      </c>
      <c r="E138" s="164">
        <f t="shared" si="16"/>
        <v>30580</v>
      </c>
      <c r="F138" s="163">
        <f t="shared" si="17"/>
        <v>122319</v>
      </c>
      <c r="G138" s="163">
        <f t="shared" si="18"/>
        <v>137609</v>
      </c>
      <c r="H138" s="328">
        <f t="shared" si="12"/>
        <v>44717.338615485358</v>
      </c>
      <c r="I138" s="339">
        <f t="shared" si="13"/>
        <v>44717.338615485358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122319</v>
      </c>
      <c r="E139" s="164">
        <f t="shared" si="16"/>
        <v>30580</v>
      </c>
      <c r="F139" s="163">
        <f t="shared" si="17"/>
        <v>91739</v>
      </c>
      <c r="G139" s="163">
        <f t="shared" si="18"/>
        <v>107029</v>
      </c>
      <c r="H139" s="328">
        <f t="shared" si="12"/>
        <v>41575.684981918203</v>
      </c>
      <c r="I139" s="339">
        <f t="shared" si="13"/>
        <v>41575.684981918203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91739</v>
      </c>
      <c r="E140" s="164">
        <f t="shared" si="16"/>
        <v>30580</v>
      </c>
      <c r="F140" s="163">
        <f t="shared" si="17"/>
        <v>61159</v>
      </c>
      <c r="G140" s="163">
        <f t="shared" si="18"/>
        <v>76449</v>
      </c>
      <c r="H140" s="328">
        <f t="shared" si="12"/>
        <v>38434.031348351054</v>
      </c>
      <c r="I140" s="339">
        <f t="shared" si="13"/>
        <v>38434.031348351054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61159</v>
      </c>
      <c r="E141" s="164">
        <f t="shared" si="16"/>
        <v>30580</v>
      </c>
      <c r="F141" s="163">
        <f t="shared" si="17"/>
        <v>30579</v>
      </c>
      <c r="G141" s="163">
        <f t="shared" si="18"/>
        <v>45869</v>
      </c>
      <c r="H141" s="328">
        <f t="shared" si="12"/>
        <v>35292.377714783899</v>
      </c>
      <c r="I141" s="339">
        <f t="shared" si="13"/>
        <v>35292.377714783899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30579</v>
      </c>
      <c r="E142" s="164">
        <f t="shared" si="16"/>
        <v>30579</v>
      </c>
      <c r="F142" s="163">
        <f t="shared" si="17"/>
        <v>0</v>
      </c>
      <c r="G142" s="163">
        <f t="shared" si="18"/>
        <v>15289.5</v>
      </c>
      <c r="H142" s="328">
        <f t="shared" si="12"/>
        <v>32149.775449000161</v>
      </c>
      <c r="I142" s="339">
        <f t="shared" si="13"/>
        <v>32149.775449000161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2"/>
        <v>0</v>
      </c>
      <c r="I143" s="339">
        <f t="shared" si="13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2"/>
        <v>0</v>
      </c>
      <c r="I144" s="339">
        <f t="shared" si="13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2"/>
        <v>0</v>
      </c>
      <c r="I145" s="339">
        <f t="shared" si="13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2"/>
        <v>0</v>
      </c>
      <c r="I146" s="339">
        <f t="shared" si="13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2"/>
        <v>0</v>
      </c>
      <c r="I147" s="339">
        <f t="shared" si="13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2"/>
        <v>0</v>
      </c>
      <c r="I148" s="339">
        <f t="shared" si="13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2"/>
        <v>0</v>
      </c>
      <c r="I149" s="339">
        <f t="shared" si="13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2"/>
        <v>0</v>
      </c>
      <c r="I150" s="339">
        <f t="shared" si="13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2"/>
        <v>0</v>
      </c>
      <c r="I151" s="339">
        <f t="shared" si="13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2"/>
        <v>0</v>
      </c>
      <c r="I152" s="339">
        <f t="shared" si="13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2"/>
        <v>0</v>
      </c>
      <c r="I153" s="339">
        <f t="shared" si="13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2"/>
        <v>0</v>
      </c>
      <c r="I154" s="341">
        <f t="shared" si="13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1314939</v>
      </c>
      <c r="F155" s="115"/>
      <c r="G155" s="115"/>
      <c r="H155" s="115">
        <f>SUM(H99:H154)</f>
        <v>4286938.9197251527</v>
      </c>
      <c r="I155" s="115">
        <f>SUM(I99:I154)</f>
        <v>4286938.9197251527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70" zoomScale="85" zoomScaleNormal="85" workbookViewId="0">
      <selection activeCell="D93" sqref="D93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25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81460.13871045578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81460.13871045578</v>
      </c>
      <c r="O6" s="1"/>
      <c r="P6" s="1"/>
    </row>
    <row r="7" spans="1:16" ht="13.5" thickBot="1">
      <c r="C7" s="127" t="s">
        <v>46</v>
      </c>
      <c r="D7" s="227" t="s">
        <v>325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 t="s">
        <v>326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1044000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2018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23200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2018</v>
      </c>
      <c r="D17" s="158">
        <v>0</v>
      </c>
      <c r="E17" s="159">
        <v>11600</v>
      </c>
      <c r="F17" s="163">
        <v>1032400</v>
      </c>
      <c r="G17" s="159">
        <v>81460.13871045578</v>
      </c>
      <c r="H17" s="147">
        <v>81460.13871045578</v>
      </c>
      <c r="I17" s="160">
        <f>H17-G17</f>
        <v>0</v>
      </c>
      <c r="J17" s="160"/>
      <c r="K17" s="332">
        <f>+G17</f>
        <v>81460.13871045578</v>
      </c>
      <c r="L17" s="161">
        <f t="shared" ref="L17:L72" si="0">IF(K17&lt;&gt;0,+G17-K17,0)</f>
        <v>0</v>
      </c>
      <c r="M17" s="332">
        <f>+H17</f>
        <v>81460.13871045578</v>
      </c>
      <c r="N17" s="161">
        <f t="shared" ref="N17:N72" si="1">IF(M17&lt;&gt;0,+H17-M17,0)</f>
        <v>0</v>
      </c>
      <c r="O17" s="162">
        <f t="shared" ref="O17:O72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166">
        <f>IF(F17+SUM(E$17:E17)=D$10,F17,D$10-SUM(E$17:E17))</f>
        <v>1032400</v>
      </c>
      <c r="E18" s="164">
        <f>IF(+I$14&lt;F17,I$14,D18)</f>
        <v>23200</v>
      </c>
      <c r="F18" s="163">
        <f>+D18-E18</f>
        <v>1009200</v>
      </c>
      <c r="G18" s="165">
        <f>(D18+F18)/2*I$12+E18</f>
        <v>161350.38666337324</v>
      </c>
      <c r="H18" s="147">
        <f>+(D18+F18)/2*I$13+E18</f>
        <v>161350.38666337324</v>
      </c>
      <c r="I18" s="160">
        <f>H18-G18</f>
        <v>0</v>
      </c>
      <c r="J18" s="160"/>
      <c r="K18" s="330"/>
      <c r="L18" s="162">
        <f t="shared" si="0"/>
        <v>0</v>
      </c>
      <c r="M18" s="330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1009200</v>
      </c>
      <c r="E19" s="164">
        <f t="shared" ref="E19:E71" si="3">IF(+I$14&lt;F18,I$14,D19)</f>
        <v>23200</v>
      </c>
      <c r="F19" s="163">
        <f t="shared" ref="F19:F71" si="4">+D19-E19</f>
        <v>986000</v>
      </c>
      <c r="G19" s="165">
        <f t="shared" ref="G19:G71" si="5">(D19+F19)/2*I$12+E19</f>
        <v>158210.60514829657</v>
      </c>
      <c r="H19" s="147">
        <f t="shared" ref="H19:H71" si="6">+(D19+F19)/2*I$13+E19</f>
        <v>158210.60514829657</v>
      </c>
      <c r="I19" s="160">
        <f t="shared" ref="I19:I71" si="7">H19-G19</f>
        <v>0</v>
      </c>
      <c r="J19" s="160"/>
      <c r="K19" s="330"/>
      <c r="L19" s="162">
        <f t="shared" si="0"/>
        <v>0</v>
      </c>
      <c r="M19" s="330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986000</v>
      </c>
      <c r="E20" s="164">
        <f t="shared" si="3"/>
        <v>23200</v>
      </c>
      <c r="F20" s="163">
        <f t="shared" si="4"/>
        <v>962800</v>
      </c>
      <c r="G20" s="165">
        <f t="shared" si="5"/>
        <v>155070.8236332199</v>
      </c>
      <c r="H20" s="147">
        <f t="shared" si="6"/>
        <v>155070.8236332199</v>
      </c>
      <c r="I20" s="160">
        <f t="shared" si="7"/>
        <v>0</v>
      </c>
      <c r="J20" s="160"/>
      <c r="K20" s="330"/>
      <c r="L20" s="162">
        <f t="shared" si="0"/>
        <v>0</v>
      </c>
      <c r="M20" s="330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962800</v>
      </c>
      <c r="E21" s="164">
        <f t="shared" si="3"/>
        <v>23200</v>
      </c>
      <c r="F21" s="163">
        <f t="shared" si="4"/>
        <v>939600</v>
      </c>
      <c r="G21" s="165">
        <f t="shared" si="5"/>
        <v>151931.04211814323</v>
      </c>
      <c r="H21" s="147">
        <f t="shared" si="6"/>
        <v>151931.04211814323</v>
      </c>
      <c r="I21" s="160">
        <f t="shared" si="7"/>
        <v>0</v>
      </c>
      <c r="J21" s="160"/>
      <c r="K21" s="330"/>
      <c r="L21" s="162">
        <f t="shared" si="0"/>
        <v>0</v>
      </c>
      <c r="M21" s="330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939600</v>
      </c>
      <c r="E22" s="164">
        <f t="shared" si="3"/>
        <v>23200</v>
      </c>
      <c r="F22" s="163">
        <f t="shared" si="4"/>
        <v>916400</v>
      </c>
      <c r="G22" s="165">
        <f t="shared" si="5"/>
        <v>148791.26060306659</v>
      </c>
      <c r="H22" s="147">
        <f t="shared" si="6"/>
        <v>148791.26060306659</v>
      </c>
      <c r="I22" s="160">
        <f t="shared" si="7"/>
        <v>0</v>
      </c>
      <c r="J22" s="160"/>
      <c r="K22" s="330"/>
      <c r="L22" s="162">
        <f t="shared" si="0"/>
        <v>0</v>
      </c>
      <c r="M22" s="330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916400</v>
      </c>
      <c r="E23" s="164">
        <f t="shared" si="3"/>
        <v>23200</v>
      </c>
      <c r="F23" s="163">
        <f t="shared" si="4"/>
        <v>893200</v>
      </c>
      <c r="G23" s="165">
        <f t="shared" si="5"/>
        <v>145651.47908798992</v>
      </c>
      <c r="H23" s="147">
        <f t="shared" si="6"/>
        <v>145651.47908798992</v>
      </c>
      <c r="I23" s="160">
        <f t="shared" si="7"/>
        <v>0</v>
      </c>
      <c r="J23" s="160"/>
      <c r="K23" s="330"/>
      <c r="L23" s="162">
        <f t="shared" si="0"/>
        <v>0</v>
      </c>
      <c r="M23" s="330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893200</v>
      </c>
      <c r="E24" s="164">
        <f t="shared" si="3"/>
        <v>23200</v>
      </c>
      <c r="F24" s="163">
        <f t="shared" si="4"/>
        <v>870000</v>
      </c>
      <c r="G24" s="165">
        <f t="shared" si="5"/>
        <v>142511.69757291325</v>
      </c>
      <c r="H24" s="147">
        <f t="shared" si="6"/>
        <v>142511.69757291325</v>
      </c>
      <c r="I24" s="160">
        <f t="shared" si="7"/>
        <v>0</v>
      </c>
      <c r="J24" s="160"/>
      <c r="K24" s="330"/>
      <c r="L24" s="162">
        <f t="shared" si="0"/>
        <v>0</v>
      </c>
      <c r="M24" s="330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870000</v>
      </c>
      <c r="E25" s="164">
        <f t="shared" si="3"/>
        <v>23200</v>
      </c>
      <c r="F25" s="163">
        <f t="shared" si="4"/>
        <v>846800</v>
      </c>
      <c r="G25" s="165">
        <f t="shared" si="5"/>
        <v>139371.91605783658</v>
      </c>
      <c r="H25" s="147">
        <f t="shared" si="6"/>
        <v>139371.91605783658</v>
      </c>
      <c r="I25" s="160">
        <f t="shared" si="7"/>
        <v>0</v>
      </c>
      <c r="J25" s="160"/>
      <c r="K25" s="330"/>
      <c r="L25" s="162">
        <f t="shared" si="0"/>
        <v>0</v>
      </c>
      <c r="M25" s="330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846800</v>
      </c>
      <c r="E26" s="164">
        <f t="shared" si="3"/>
        <v>23200</v>
      </c>
      <c r="F26" s="163">
        <f t="shared" si="4"/>
        <v>823600</v>
      </c>
      <c r="G26" s="165">
        <f t="shared" si="5"/>
        <v>136232.13454275992</v>
      </c>
      <c r="H26" s="147">
        <f t="shared" si="6"/>
        <v>136232.13454275992</v>
      </c>
      <c r="I26" s="160">
        <f t="shared" si="7"/>
        <v>0</v>
      </c>
      <c r="J26" s="160"/>
      <c r="K26" s="330"/>
      <c r="L26" s="162">
        <f t="shared" si="0"/>
        <v>0</v>
      </c>
      <c r="M26" s="330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823600</v>
      </c>
      <c r="E27" s="164">
        <f t="shared" si="3"/>
        <v>23200</v>
      </c>
      <c r="F27" s="163">
        <f t="shared" si="4"/>
        <v>800400</v>
      </c>
      <c r="G27" s="165">
        <f t="shared" si="5"/>
        <v>133092.35302768328</v>
      </c>
      <c r="H27" s="147">
        <f t="shared" si="6"/>
        <v>133092.35302768328</v>
      </c>
      <c r="I27" s="160">
        <f t="shared" si="7"/>
        <v>0</v>
      </c>
      <c r="J27" s="160"/>
      <c r="K27" s="330"/>
      <c r="L27" s="162">
        <f t="shared" si="0"/>
        <v>0</v>
      </c>
      <c r="M27" s="330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800400</v>
      </c>
      <c r="E28" s="164">
        <f t="shared" si="3"/>
        <v>23200</v>
      </c>
      <c r="F28" s="163">
        <f t="shared" si="4"/>
        <v>777200</v>
      </c>
      <c r="G28" s="165">
        <f t="shared" si="5"/>
        <v>129952.57151260659</v>
      </c>
      <c r="H28" s="147">
        <f t="shared" si="6"/>
        <v>129952.57151260659</v>
      </c>
      <c r="I28" s="160">
        <f t="shared" si="7"/>
        <v>0</v>
      </c>
      <c r="J28" s="160"/>
      <c r="K28" s="330"/>
      <c r="L28" s="162">
        <f t="shared" si="0"/>
        <v>0</v>
      </c>
      <c r="M28" s="330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777200</v>
      </c>
      <c r="E29" s="164">
        <f t="shared" si="3"/>
        <v>23200</v>
      </c>
      <c r="F29" s="163">
        <f t="shared" si="4"/>
        <v>754000</v>
      </c>
      <c r="G29" s="165">
        <f t="shared" si="5"/>
        <v>126812.78999752994</v>
      </c>
      <c r="H29" s="147">
        <f t="shared" si="6"/>
        <v>126812.78999752994</v>
      </c>
      <c r="I29" s="160">
        <f t="shared" si="7"/>
        <v>0</v>
      </c>
      <c r="J29" s="160"/>
      <c r="K29" s="330"/>
      <c r="L29" s="162">
        <f t="shared" si="0"/>
        <v>0</v>
      </c>
      <c r="M29" s="330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754000</v>
      </c>
      <c r="E30" s="164">
        <f t="shared" si="3"/>
        <v>23200</v>
      </c>
      <c r="F30" s="163">
        <f t="shared" si="4"/>
        <v>730800</v>
      </c>
      <c r="G30" s="165">
        <f t="shared" si="5"/>
        <v>123673.00848245327</v>
      </c>
      <c r="H30" s="147">
        <f t="shared" si="6"/>
        <v>123673.00848245327</v>
      </c>
      <c r="I30" s="160">
        <f t="shared" si="7"/>
        <v>0</v>
      </c>
      <c r="J30" s="160"/>
      <c r="K30" s="330"/>
      <c r="L30" s="162">
        <f t="shared" si="0"/>
        <v>0</v>
      </c>
      <c r="M30" s="330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730800</v>
      </c>
      <c r="E31" s="164">
        <f t="shared" si="3"/>
        <v>23200</v>
      </c>
      <c r="F31" s="163">
        <f t="shared" si="4"/>
        <v>707600</v>
      </c>
      <c r="G31" s="165">
        <f t="shared" si="5"/>
        <v>120533.2269673766</v>
      </c>
      <c r="H31" s="147">
        <f t="shared" si="6"/>
        <v>120533.2269673766</v>
      </c>
      <c r="I31" s="160">
        <f t="shared" si="7"/>
        <v>0</v>
      </c>
      <c r="J31" s="160"/>
      <c r="K31" s="330"/>
      <c r="L31" s="162">
        <f t="shared" si="0"/>
        <v>0</v>
      </c>
      <c r="M31" s="330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707600</v>
      </c>
      <c r="E32" s="164">
        <f t="shared" si="3"/>
        <v>23200</v>
      </c>
      <c r="F32" s="163">
        <f t="shared" si="4"/>
        <v>684400</v>
      </c>
      <c r="G32" s="165">
        <f t="shared" si="5"/>
        <v>117393.44545229994</v>
      </c>
      <c r="H32" s="147">
        <f t="shared" si="6"/>
        <v>117393.44545229994</v>
      </c>
      <c r="I32" s="160">
        <f t="shared" si="7"/>
        <v>0</v>
      </c>
      <c r="J32" s="160"/>
      <c r="K32" s="330"/>
      <c r="L32" s="162">
        <f t="shared" si="0"/>
        <v>0</v>
      </c>
      <c r="M32" s="330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684400</v>
      </c>
      <c r="E33" s="164">
        <f t="shared" si="3"/>
        <v>23200</v>
      </c>
      <c r="F33" s="163">
        <f t="shared" si="4"/>
        <v>661200</v>
      </c>
      <c r="G33" s="165">
        <f t="shared" si="5"/>
        <v>114253.66393722327</v>
      </c>
      <c r="H33" s="147">
        <f t="shared" si="6"/>
        <v>114253.66393722327</v>
      </c>
      <c r="I33" s="160">
        <f t="shared" si="7"/>
        <v>0</v>
      </c>
      <c r="J33" s="160"/>
      <c r="K33" s="330"/>
      <c r="L33" s="162">
        <f t="shared" si="0"/>
        <v>0</v>
      </c>
      <c r="M33" s="330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661200</v>
      </c>
      <c r="E34" s="164">
        <f t="shared" si="3"/>
        <v>23200</v>
      </c>
      <c r="F34" s="163">
        <f t="shared" si="4"/>
        <v>638000</v>
      </c>
      <c r="G34" s="165">
        <f t="shared" si="5"/>
        <v>111113.88242214661</v>
      </c>
      <c r="H34" s="147">
        <f t="shared" si="6"/>
        <v>111113.88242214661</v>
      </c>
      <c r="I34" s="160">
        <f t="shared" si="7"/>
        <v>0</v>
      </c>
      <c r="J34" s="160"/>
      <c r="K34" s="330"/>
      <c r="L34" s="162">
        <f t="shared" si="0"/>
        <v>0</v>
      </c>
      <c r="M34" s="330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638000</v>
      </c>
      <c r="E35" s="164">
        <f t="shared" si="3"/>
        <v>23200</v>
      </c>
      <c r="F35" s="163">
        <f t="shared" si="4"/>
        <v>614800</v>
      </c>
      <c r="G35" s="165">
        <f t="shared" si="5"/>
        <v>107974.10090706995</v>
      </c>
      <c r="H35" s="147">
        <f t="shared" si="6"/>
        <v>107974.10090706995</v>
      </c>
      <c r="I35" s="160">
        <f t="shared" si="7"/>
        <v>0</v>
      </c>
      <c r="J35" s="160"/>
      <c r="K35" s="330"/>
      <c r="L35" s="162">
        <f t="shared" si="0"/>
        <v>0</v>
      </c>
      <c r="M35" s="330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614800</v>
      </c>
      <c r="E36" s="164">
        <f t="shared" si="3"/>
        <v>23200</v>
      </c>
      <c r="F36" s="163">
        <f t="shared" si="4"/>
        <v>591600</v>
      </c>
      <c r="G36" s="165">
        <f t="shared" si="5"/>
        <v>104834.31939199328</v>
      </c>
      <c r="H36" s="147">
        <f t="shared" si="6"/>
        <v>104834.31939199328</v>
      </c>
      <c r="I36" s="160">
        <f t="shared" si="7"/>
        <v>0</v>
      </c>
      <c r="J36" s="160"/>
      <c r="K36" s="330"/>
      <c r="L36" s="162">
        <f t="shared" si="0"/>
        <v>0</v>
      </c>
      <c r="M36" s="330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591600</v>
      </c>
      <c r="E37" s="164">
        <f t="shared" si="3"/>
        <v>23200</v>
      </c>
      <c r="F37" s="163">
        <f t="shared" si="4"/>
        <v>568400</v>
      </c>
      <c r="G37" s="165">
        <f t="shared" si="5"/>
        <v>101694.53787691661</v>
      </c>
      <c r="H37" s="147">
        <f t="shared" si="6"/>
        <v>101694.53787691661</v>
      </c>
      <c r="I37" s="160">
        <f t="shared" si="7"/>
        <v>0</v>
      </c>
      <c r="J37" s="160"/>
      <c r="K37" s="330"/>
      <c r="L37" s="162">
        <f t="shared" si="0"/>
        <v>0</v>
      </c>
      <c r="M37" s="330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568400</v>
      </c>
      <c r="E38" s="164">
        <f t="shared" si="3"/>
        <v>23200</v>
      </c>
      <c r="F38" s="163">
        <f t="shared" si="4"/>
        <v>545200</v>
      </c>
      <c r="G38" s="165">
        <f t="shared" si="5"/>
        <v>98554.756361839944</v>
      </c>
      <c r="H38" s="147">
        <f t="shared" si="6"/>
        <v>98554.756361839944</v>
      </c>
      <c r="I38" s="160">
        <f t="shared" si="7"/>
        <v>0</v>
      </c>
      <c r="J38" s="160"/>
      <c r="K38" s="330"/>
      <c r="L38" s="162">
        <f t="shared" si="0"/>
        <v>0</v>
      </c>
      <c r="M38" s="330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545200</v>
      </c>
      <c r="E39" s="164">
        <f t="shared" si="3"/>
        <v>23200</v>
      </c>
      <c r="F39" s="163">
        <f t="shared" si="4"/>
        <v>522000</v>
      </c>
      <c r="G39" s="165">
        <f t="shared" si="5"/>
        <v>95414.974846763289</v>
      </c>
      <c r="H39" s="147">
        <f t="shared" si="6"/>
        <v>95414.974846763289</v>
      </c>
      <c r="I39" s="160">
        <f t="shared" si="7"/>
        <v>0</v>
      </c>
      <c r="J39" s="160"/>
      <c r="K39" s="330"/>
      <c r="L39" s="162">
        <f t="shared" si="0"/>
        <v>0</v>
      </c>
      <c r="M39" s="330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522000</v>
      </c>
      <c r="E40" s="164">
        <f t="shared" si="3"/>
        <v>23200</v>
      </c>
      <c r="F40" s="163">
        <f t="shared" si="4"/>
        <v>498800</v>
      </c>
      <c r="G40" s="165">
        <f t="shared" si="5"/>
        <v>92275.19333168662</v>
      </c>
      <c r="H40" s="147">
        <f t="shared" si="6"/>
        <v>92275.19333168662</v>
      </c>
      <c r="I40" s="160">
        <f t="shared" si="7"/>
        <v>0</v>
      </c>
      <c r="J40" s="160"/>
      <c r="K40" s="330"/>
      <c r="L40" s="162">
        <f t="shared" si="0"/>
        <v>0</v>
      </c>
      <c r="M40" s="330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498800</v>
      </c>
      <c r="E41" s="164">
        <f t="shared" si="3"/>
        <v>23200</v>
      </c>
      <c r="F41" s="163">
        <f t="shared" si="4"/>
        <v>475600</v>
      </c>
      <c r="G41" s="165">
        <f t="shared" si="5"/>
        <v>89135.411816609951</v>
      </c>
      <c r="H41" s="147">
        <f t="shared" si="6"/>
        <v>89135.411816609951</v>
      </c>
      <c r="I41" s="160">
        <f t="shared" si="7"/>
        <v>0</v>
      </c>
      <c r="J41" s="160"/>
      <c r="K41" s="330"/>
      <c r="L41" s="162">
        <f t="shared" si="0"/>
        <v>0</v>
      </c>
      <c r="M41" s="330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475600</v>
      </c>
      <c r="E42" s="164">
        <f t="shared" si="3"/>
        <v>23200</v>
      </c>
      <c r="F42" s="163">
        <f t="shared" si="4"/>
        <v>452400</v>
      </c>
      <c r="G42" s="165">
        <f t="shared" si="5"/>
        <v>85995.630301533296</v>
      </c>
      <c r="H42" s="147">
        <f t="shared" si="6"/>
        <v>85995.630301533296</v>
      </c>
      <c r="I42" s="160">
        <f t="shared" si="7"/>
        <v>0</v>
      </c>
      <c r="J42" s="160"/>
      <c r="K42" s="330"/>
      <c r="L42" s="162">
        <f t="shared" si="0"/>
        <v>0</v>
      </c>
      <c r="M42" s="330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452400</v>
      </c>
      <c r="E43" s="164">
        <f t="shared" si="3"/>
        <v>23200</v>
      </c>
      <c r="F43" s="163">
        <f t="shared" si="4"/>
        <v>429200</v>
      </c>
      <c r="G43" s="165">
        <f t="shared" si="5"/>
        <v>82855.848786456627</v>
      </c>
      <c r="H43" s="147">
        <f t="shared" si="6"/>
        <v>82855.848786456627</v>
      </c>
      <c r="I43" s="160">
        <f t="shared" si="7"/>
        <v>0</v>
      </c>
      <c r="J43" s="160"/>
      <c r="K43" s="330"/>
      <c r="L43" s="162">
        <f t="shared" si="0"/>
        <v>0</v>
      </c>
      <c r="M43" s="330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429200</v>
      </c>
      <c r="E44" s="164">
        <f t="shared" si="3"/>
        <v>23200</v>
      </c>
      <c r="F44" s="163">
        <f t="shared" si="4"/>
        <v>406000</v>
      </c>
      <c r="G44" s="165">
        <f t="shared" si="5"/>
        <v>79716.067271379958</v>
      </c>
      <c r="H44" s="147">
        <f t="shared" si="6"/>
        <v>79716.067271379958</v>
      </c>
      <c r="I44" s="160">
        <f t="shared" si="7"/>
        <v>0</v>
      </c>
      <c r="J44" s="160"/>
      <c r="K44" s="330"/>
      <c r="L44" s="162">
        <f t="shared" si="0"/>
        <v>0</v>
      </c>
      <c r="M44" s="330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406000</v>
      </c>
      <c r="E45" s="164">
        <f t="shared" si="3"/>
        <v>23200</v>
      </c>
      <c r="F45" s="163">
        <f t="shared" si="4"/>
        <v>382800</v>
      </c>
      <c r="G45" s="165">
        <f t="shared" si="5"/>
        <v>76576.285756303289</v>
      </c>
      <c r="H45" s="147">
        <f t="shared" si="6"/>
        <v>76576.285756303289</v>
      </c>
      <c r="I45" s="160">
        <f t="shared" si="7"/>
        <v>0</v>
      </c>
      <c r="J45" s="160"/>
      <c r="K45" s="330"/>
      <c r="L45" s="162">
        <f t="shared" si="0"/>
        <v>0</v>
      </c>
      <c r="M45" s="330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382800</v>
      </c>
      <c r="E46" s="164">
        <f t="shared" si="3"/>
        <v>23200</v>
      </c>
      <c r="F46" s="163">
        <f t="shared" si="4"/>
        <v>359600</v>
      </c>
      <c r="G46" s="165">
        <f t="shared" si="5"/>
        <v>73436.504241226634</v>
      </c>
      <c r="H46" s="147">
        <f t="shared" si="6"/>
        <v>73436.504241226634</v>
      </c>
      <c r="I46" s="160">
        <f t="shared" si="7"/>
        <v>0</v>
      </c>
      <c r="J46" s="160"/>
      <c r="K46" s="330"/>
      <c r="L46" s="162">
        <f t="shared" si="0"/>
        <v>0</v>
      </c>
      <c r="M46" s="330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359600</v>
      </c>
      <c r="E47" s="164">
        <f t="shared" si="3"/>
        <v>23200</v>
      </c>
      <c r="F47" s="163">
        <f t="shared" si="4"/>
        <v>336400</v>
      </c>
      <c r="G47" s="165">
        <f t="shared" si="5"/>
        <v>70296.722726149979</v>
      </c>
      <c r="H47" s="147">
        <f t="shared" si="6"/>
        <v>70296.722726149979</v>
      </c>
      <c r="I47" s="160">
        <f t="shared" si="7"/>
        <v>0</v>
      </c>
      <c r="J47" s="160"/>
      <c r="K47" s="330"/>
      <c r="L47" s="162">
        <f t="shared" si="0"/>
        <v>0</v>
      </c>
      <c r="M47" s="330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336400</v>
      </c>
      <c r="E48" s="164">
        <f t="shared" si="3"/>
        <v>23200</v>
      </c>
      <c r="F48" s="163">
        <f t="shared" si="4"/>
        <v>313200</v>
      </c>
      <c r="G48" s="165">
        <f t="shared" si="5"/>
        <v>67156.94121107331</v>
      </c>
      <c r="H48" s="147">
        <f t="shared" si="6"/>
        <v>67156.94121107331</v>
      </c>
      <c r="I48" s="160">
        <f t="shared" si="7"/>
        <v>0</v>
      </c>
      <c r="J48" s="160"/>
      <c r="K48" s="330"/>
      <c r="L48" s="162">
        <f t="shared" si="0"/>
        <v>0</v>
      </c>
      <c r="M48" s="330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313200</v>
      </c>
      <c r="E49" s="164">
        <f t="shared" si="3"/>
        <v>23200</v>
      </c>
      <c r="F49" s="163">
        <f t="shared" si="4"/>
        <v>290000</v>
      </c>
      <c r="G49" s="165">
        <f t="shared" si="5"/>
        <v>64017.159695996641</v>
      </c>
      <c r="H49" s="147">
        <f t="shared" si="6"/>
        <v>64017.159695996641</v>
      </c>
      <c r="I49" s="160">
        <f t="shared" si="7"/>
        <v>0</v>
      </c>
      <c r="J49" s="160"/>
      <c r="K49" s="330"/>
      <c r="L49" s="162">
        <f t="shared" si="0"/>
        <v>0</v>
      </c>
      <c r="M49" s="330"/>
      <c r="N49" s="162">
        <f t="shared" si="1"/>
        <v>0</v>
      </c>
      <c r="O49" s="162">
        <f t="shared" si="2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290000</v>
      </c>
      <c r="E50" s="164">
        <f t="shared" si="3"/>
        <v>23200</v>
      </c>
      <c r="F50" s="163">
        <f t="shared" si="4"/>
        <v>266800</v>
      </c>
      <c r="G50" s="165">
        <f t="shared" si="5"/>
        <v>60877.378180919972</v>
      </c>
      <c r="H50" s="147">
        <f t="shared" si="6"/>
        <v>60877.378180919972</v>
      </c>
      <c r="I50" s="160">
        <f t="shared" si="7"/>
        <v>0</v>
      </c>
      <c r="J50" s="160"/>
      <c r="K50" s="330"/>
      <c r="L50" s="162">
        <f t="shared" si="0"/>
        <v>0</v>
      </c>
      <c r="M50" s="330"/>
      <c r="N50" s="162">
        <f t="shared" si="1"/>
        <v>0</v>
      </c>
      <c r="O50" s="162">
        <f t="shared" si="2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266800</v>
      </c>
      <c r="E51" s="164">
        <f t="shared" si="3"/>
        <v>23200</v>
      </c>
      <c r="F51" s="163">
        <f t="shared" si="4"/>
        <v>243600</v>
      </c>
      <c r="G51" s="165">
        <f t="shared" si="5"/>
        <v>57737.59666584331</v>
      </c>
      <c r="H51" s="147">
        <f t="shared" si="6"/>
        <v>57737.59666584331</v>
      </c>
      <c r="I51" s="160">
        <f t="shared" si="7"/>
        <v>0</v>
      </c>
      <c r="J51" s="160"/>
      <c r="K51" s="330"/>
      <c r="L51" s="162">
        <f t="shared" si="0"/>
        <v>0</v>
      </c>
      <c r="M51" s="330"/>
      <c r="N51" s="162">
        <f t="shared" si="1"/>
        <v>0</v>
      </c>
      <c r="O51" s="162">
        <f t="shared" si="2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243600</v>
      </c>
      <c r="E52" s="164">
        <f t="shared" si="3"/>
        <v>23200</v>
      </c>
      <c r="F52" s="163">
        <f t="shared" si="4"/>
        <v>220400</v>
      </c>
      <c r="G52" s="165">
        <f t="shared" si="5"/>
        <v>54597.815150766648</v>
      </c>
      <c r="H52" s="147">
        <f t="shared" si="6"/>
        <v>54597.815150766648</v>
      </c>
      <c r="I52" s="160">
        <f t="shared" si="7"/>
        <v>0</v>
      </c>
      <c r="J52" s="160"/>
      <c r="K52" s="330"/>
      <c r="L52" s="162">
        <f t="shared" si="0"/>
        <v>0</v>
      </c>
      <c r="M52" s="330"/>
      <c r="N52" s="162">
        <f t="shared" si="1"/>
        <v>0</v>
      </c>
      <c r="O52" s="162">
        <f t="shared" si="2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220400</v>
      </c>
      <c r="E53" s="164">
        <f t="shared" si="3"/>
        <v>23200</v>
      </c>
      <c r="F53" s="163">
        <f t="shared" si="4"/>
        <v>197200</v>
      </c>
      <c r="G53" s="165">
        <f t="shared" si="5"/>
        <v>51458.033635689979</v>
      </c>
      <c r="H53" s="147">
        <f t="shared" si="6"/>
        <v>51458.033635689979</v>
      </c>
      <c r="I53" s="160">
        <f t="shared" si="7"/>
        <v>0</v>
      </c>
      <c r="J53" s="160"/>
      <c r="K53" s="330"/>
      <c r="L53" s="162">
        <f t="shared" si="0"/>
        <v>0</v>
      </c>
      <c r="M53" s="330"/>
      <c r="N53" s="162">
        <f t="shared" si="1"/>
        <v>0</v>
      </c>
      <c r="O53" s="162">
        <f t="shared" si="2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197200</v>
      </c>
      <c r="E54" s="164">
        <f t="shared" si="3"/>
        <v>23200</v>
      </c>
      <c r="F54" s="163">
        <f t="shared" si="4"/>
        <v>174000</v>
      </c>
      <c r="G54" s="165">
        <f t="shared" si="5"/>
        <v>48318.252120613317</v>
      </c>
      <c r="H54" s="147">
        <f t="shared" si="6"/>
        <v>48318.252120613317</v>
      </c>
      <c r="I54" s="160">
        <f t="shared" si="7"/>
        <v>0</v>
      </c>
      <c r="J54" s="160"/>
      <c r="K54" s="330"/>
      <c r="L54" s="162">
        <f t="shared" si="0"/>
        <v>0</v>
      </c>
      <c r="M54" s="330"/>
      <c r="N54" s="162">
        <f t="shared" si="1"/>
        <v>0</v>
      </c>
      <c r="O54" s="162">
        <f t="shared" si="2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174000</v>
      </c>
      <c r="E55" s="164">
        <f t="shared" si="3"/>
        <v>23200</v>
      </c>
      <c r="F55" s="163">
        <f t="shared" si="4"/>
        <v>150800</v>
      </c>
      <c r="G55" s="165">
        <f t="shared" si="5"/>
        <v>45178.470605536655</v>
      </c>
      <c r="H55" s="147">
        <f t="shared" si="6"/>
        <v>45178.470605536655</v>
      </c>
      <c r="I55" s="160">
        <f t="shared" si="7"/>
        <v>0</v>
      </c>
      <c r="J55" s="160"/>
      <c r="K55" s="330"/>
      <c r="L55" s="162">
        <f t="shared" si="0"/>
        <v>0</v>
      </c>
      <c r="M55" s="330"/>
      <c r="N55" s="162">
        <f t="shared" si="1"/>
        <v>0</v>
      </c>
      <c r="O55" s="162">
        <f t="shared" si="2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150800</v>
      </c>
      <c r="E56" s="164">
        <f t="shared" si="3"/>
        <v>23200</v>
      </c>
      <c r="F56" s="163">
        <f t="shared" si="4"/>
        <v>127600</v>
      </c>
      <c r="G56" s="165">
        <f t="shared" si="5"/>
        <v>42038.689090459986</v>
      </c>
      <c r="H56" s="147">
        <f t="shared" si="6"/>
        <v>42038.689090459986</v>
      </c>
      <c r="I56" s="160">
        <f t="shared" si="7"/>
        <v>0</v>
      </c>
      <c r="J56" s="160"/>
      <c r="K56" s="330"/>
      <c r="L56" s="162">
        <f t="shared" si="0"/>
        <v>0</v>
      </c>
      <c r="M56" s="330"/>
      <c r="N56" s="162">
        <f t="shared" si="1"/>
        <v>0</v>
      </c>
      <c r="O56" s="162">
        <f t="shared" si="2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127600</v>
      </c>
      <c r="E57" s="164">
        <f t="shared" si="3"/>
        <v>23200</v>
      </c>
      <c r="F57" s="163">
        <f t="shared" si="4"/>
        <v>104400</v>
      </c>
      <c r="G57" s="165">
        <f t="shared" si="5"/>
        <v>38898.907575383324</v>
      </c>
      <c r="H57" s="147">
        <f t="shared" si="6"/>
        <v>38898.907575383324</v>
      </c>
      <c r="I57" s="160">
        <f t="shared" si="7"/>
        <v>0</v>
      </c>
      <c r="J57" s="160"/>
      <c r="K57" s="330"/>
      <c r="L57" s="162">
        <f t="shared" si="0"/>
        <v>0</v>
      </c>
      <c r="M57" s="330"/>
      <c r="N57" s="162">
        <f t="shared" si="1"/>
        <v>0</v>
      </c>
      <c r="O57" s="162">
        <f t="shared" si="2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104400</v>
      </c>
      <c r="E58" s="164">
        <f t="shared" si="3"/>
        <v>23200</v>
      </c>
      <c r="F58" s="163">
        <f t="shared" si="4"/>
        <v>81200</v>
      </c>
      <c r="G58" s="165">
        <f t="shared" si="5"/>
        <v>35759.126060306662</v>
      </c>
      <c r="H58" s="147">
        <f t="shared" si="6"/>
        <v>35759.126060306662</v>
      </c>
      <c r="I58" s="160">
        <f t="shared" si="7"/>
        <v>0</v>
      </c>
      <c r="J58" s="160"/>
      <c r="K58" s="330"/>
      <c r="L58" s="162">
        <f t="shared" si="0"/>
        <v>0</v>
      </c>
      <c r="M58" s="330"/>
      <c r="N58" s="162">
        <f t="shared" si="1"/>
        <v>0</v>
      </c>
      <c r="O58" s="162">
        <f t="shared" si="2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81200</v>
      </c>
      <c r="E59" s="164">
        <f t="shared" si="3"/>
        <v>23200</v>
      </c>
      <c r="F59" s="163">
        <f t="shared" si="4"/>
        <v>58000</v>
      </c>
      <c r="G59" s="165">
        <f t="shared" si="5"/>
        <v>32619.344545229993</v>
      </c>
      <c r="H59" s="147">
        <f t="shared" si="6"/>
        <v>32619.344545229993</v>
      </c>
      <c r="I59" s="160">
        <f t="shared" si="7"/>
        <v>0</v>
      </c>
      <c r="J59" s="160"/>
      <c r="K59" s="330"/>
      <c r="L59" s="162">
        <f t="shared" si="0"/>
        <v>0</v>
      </c>
      <c r="M59" s="330"/>
      <c r="N59" s="162">
        <f t="shared" si="1"/>
        <v>0</v>
      </c>
      <c r="O59" s="162">
        <f t="shared" si="2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58000</v>
      </c>
      <c r="E60" s="164">
        <f t="shared" si="3"/>
        <v>23200</v>
      </c>
      <c r="F60" s="163">
        <f t="shared" si="4"/>
        <v>34800</v>
      </c>
      <c r="G60" s="165">
        <f t="shared" si="5"/>
        <v>29479.563030153331</v>
      </c>
      <c r="H60" s="147">
        <f t="shared" si="6"/>
        <v>29479.563030153331</v>
      </c>
      <c r="I60" s="160">
        <f t="shared" si="7"/>
        <v>0</v>
      </c>
      <c r="J60" s="160"/>
      <c r="K60" s="330"/>
      <c r="L60" s="162">
        <f t="shared" si="0"/>
        <v>0</v>
      </c>
      <c r="M60" s="330"/>
      <c r="N60" s="162">
        <f t="shared" si="1"/>
        <v>0</v>
      </c>
      <c r="O60" s="162">
        <f t="shared" si="2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34800</v>
      </c>
      <c r="E61" s="164">
        <f t="shared" si="3"/>
        <v>23200</v>
      </c>
      <c r="F61" s="163">
        <f t="shared" si="4"/>
        <v>11600</v>
      </c>
      <c r="G61" s="165">
        <f t="shared" si="5"/>
        <v>26339.781515076666</v>
      </c>
      <c r="H61" s="147">
        <f t="shared" si="6"/>
        <v>26339.781515076666</v>
      </c>
      <c r="I61" s="160">
        <f t="shared" si="7"/>
        <v>0</v>
      </c>
      <c r="J61" s="160"/>
      <c r="K61" s="330"/>
      <c r="L61" s="162">
        <f t="shared" si="0"/>
        <v>0</v>
      </c>
      <c r="M61" s="330"/>
      <c r="N61" s="162">
        <f t="shared" si="1"/>
        <v>0</v>
      </c>
      <c r="O61" s="162">
        <f t="shared" si="2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11600</v>
      </c>
      <c r="E62" s="164">
        <f t="shared" si="3"/>
        <v>11600</v>
      </c>
      <c r="F62" s="163">
        <f t="shared" si="4"/>
        <v>0</v>
      </c>
      <c r="G62" s="165">
        <f t="shared" si="5"/>
        <v>12384.945378769165</v>
      </c>
      <c r="H62" s="147">
        <f t="shared" si="6"/>
        <v>12384.945378769165</v>
      </c>
      <c r="I62" s="160">
        <f t="shared" si="7"/>
        <v>0</v>
      </c>
      <c r="J62" s="160"/>
      <c r="K62" s="330"/>
      <c r="L62" s="162">
        <f t="shared" si="0"/>
        <v>0</v>
      </c>
      <c r="M62" s="330"/>
      <c r="N62" s="162">
        <f t="shared" si="1"/>
        <v>0</v>
      </c>
      <c r="O62" s="162">
        <f t="shared" si="2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0"/>
      <c r="L63" s="162">
        <f t="shared" si="0"/>
        <v>0</v>
      </c>
      <c r="M63" s="330"/>
      <c r="N63" s="162">
        <f t="shared" si="1"/>
        <v>0</v>
      </c>
      <c r="O63" s="162">
        <f t="shared" si="2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0"/>
      <c r="L64" s="162">
        <f t="shared" si="0"/>
        <v>0</v>
      </c>
      <c r="M64" s="330"/>
      <c r="N64" s="162">
        <f t="shared" si="1"/>
        <v>0</v>
      </c>
      <c r="O64" s="162">
        <f t="shared" si="2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0"/>
      <c r="L65" s="162">
        <f t="shared" si="0"/>
        <v>0</v>
      </c>
      <c r="M65" s="330"/>
      <c r="N65" s="162">
        <f t="shared" si="1"/>
        <v>0</v>
      </c>
      <c r="O65" s="162">
        <f t="shared" si="2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0"/>
      <c r="L66" s="162">
        <f t="shared" si="0"/>
        <v>0</v>
      </c>
      <c r="M66" s="330"/>
      <c r="N66" s="162">
        <f t="shared" si="1"/>
        <v>0</v>
      </c>
      <c r="O66" s="162">
        <f t="shared" si="2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0"/>
      <c r="L67" s="162">
        <f t="shared" si="0"/>
        <v>0</v>
      </c>
      <c r="M67" s="330"/>
      <c r="N67" s="162">
        <f t="shared" si="1"/>
        <v>0</v>
      </c>
      <c r="O67" s="162">
        <f t="shared" si="2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0"/>
      <c r="L68" s="162">
        <f t="shared" si="0"/>
        <v>0</v>
      </c>
      <c r="M68" s="330"/>
      <c r="N68" s="162">
        <f t="shared" si="1"/>
        <v>0</v>
      </c>
      <c r="O68" s="162">
        <f t="shared" si="2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0"/>
      <c r="L69" s="162">
        <f t="shared" si="0"/>
        <v>0</v>
      </c>
      <c r="M69" s="330"/>
      <c r="N69" s="162">
        <f t="shared" si="1"/>
        <v>0</v>
      </c>
      <c r="O69" s="162">
        <f t="shared" si="2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0"/>
      <c r="L70" s="162">
        <f t="shared" si="0"/>
        <v>0</v>
      </c>
      <c r="M70" s="330"/>
      <c r="N70" s="162">
        <f t="shared" si="1"/>
        <v>0</v>
      </c>
      <c r="O70" s="162">
        <f t="shared" si="2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0"/>
      <c r="L71" s="162">
        <f t="shared" si="0"/>
        <v>0</v>
      </c>
      <c r="M71" s="330"/>
      <c r="N71" s="162">
        <f t="shared" si="1"/>
        <v>0</v>
      </c>
      <c r="O71" s="162">
        <f t="shared" si="2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36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2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1"/>
      <c r="L72" s="173">
        <f t="shared" si="0"/>
        <v>0</v>
      </c>
      <c r="M72" s="331"/>
      <c r="N72" s="173">
        <f t="shared" si="1"/>
        <v>0</v>
      </c>
      <c r="O72" s="173">
        <f t="shared" si="2"/>
        <v>0</v>
      </c>
      <c r="P72" s="4"/>
    </row>
    <row r="73" spans="2:16">
      <c r="C73" s="158" t="s">
        <v>77</v>
      </c>
      <c r="D73" s="115"/>
      <c r="E73" s="115">
        <f>SUM(E17:E72)</f>
        <v>1044000</v>
      </c>
      <c r="F73" s="115"/>
      <c r="G73" s="115">
        <f>SUM(G17:G72)</f>
        <v>4223028.7840151219</v>
      </c>
      <c r="H73" s="115">
        <f>SUM(H17:H72)</f>
        <v>4223028.7840151219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25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81460.13871045578</v>
      </c>
      <c r="N87" s="202">
        <f>IF(J92&lt;D11,0,VLOOKUP(J92,C17:O72,11))</f>
        <v>81460.13871045578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15517.180013537691</v>
      </c>
      <c r="N88" s="204">
        <f>IF(J92&lt;D11,0,VLOOKUP(J92,C99:P154,7))</f>
        <v>15517.180013537691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Fort Towson-Valliant Line Rebuild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-65942.958696918096</v>
      </c>
      <c r="N89" s="207">
        <f>+N88-N87</f>
        <v>-65942.958696918096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TP2015204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v>302080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2018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7025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2018</v>
      </c>
      <c r="D99" s="158">
        <v>0</v>
      </c>
      <c r="E99" s="165">
        <f>IF(OR(D11=I10,D92&lt;100000),0,J$96/12*(12-D94))</f>
        <v>0</v>
      </c>
      <c r="F99" s="163">
        <f>IF(D93=C99,+D92-E99,+D99-E99)</f>
        <v>302080</v>
      </c>
      <c r="G99" s="218">
        <f>+(F99+D99)/2</f>
        <v>151040</v>
      </c>
      <c r="H99" s="218">
        <f>+J$94*G99+E99</f>
        <v>15517.180013537691</v>
      </c>
      <c r="I99" s="218">
        <f>+J$95*G99+E99</f>
        <v>15517.180013537691</v>
      </c>
      <c r="J99" s="162">
        <f>+I99-H99</f>
        <v>0</v>
      </c>
      <c r="K99" s="162"/>
      <c r="L99" s="329"/>
      <c r="M99" s="161">
        <f t="shared" ref="M99:M130" si="9">IF(L99&lt;&gt;0,+H99-L99,0)</f>
        <v>0</v>
      </c>
      <c r="N99" s="329"/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302080</v>
      </c>
      <c r="E100" s="164">
        <f>IF(+J$96&lt;F99,J$96,D100)</f>
        <v>7025</v>
      </c>
      <c r="F100" s="163">
        <f>+D100-E100</f>
        <v>295055</v>
      </c>
      <c r="G100" s="163">
        <f>+(F100+D100)/2</f>
        <v>298567.5</v>
      </c>
      <c r="H100" s="328">
        <f t="shared" ref="H100:H154" si="12">+J$94*G100+E100</f>
        <v>37698.501348595833</v>
      </c>
      <c r="I100" s="339">
        <f t="shared" ref="I100:I154" si="13">+J$95*G100+E100</f>
        <v>37698.501348595833</v>
      </c>
      <c r="J100" s="162">
        <f t="shared" ref="J100:J130" si="14">+I100-H100</f>
        <v>0</v>
      </c>
      <c r="K100" s="162"/>
      <c r="L100" s="330"/>
      <c r="M100" s="162">
        <f t="shared" si="9"/>
        <v>0</v>
      </c>
      <c r="N100" s="330"/>
      <c r="O100" s="162">
        <f t="shared" si="10"/>
        <v>0</v>
      </c>
      <c r="P100" s="162">
        <f t="shared" si="11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295055</v>
      </c>
      <c r="E101" s="164">
        <f t="shared" ref="E101:E154" si="16">IF(+J$96&lt;F100,J$96,D101)</f>
        <v>7025</v>
      </c>
      <c r="F101" s="163">
        <f t="shared" ref="F101:F154" si="17">+D101-E101</f>
        <v>288030</v>
      </c>
      <c r="G101" s="163">
        <f t="shared" ref="G101:G154" si="18">+(F101+D101)/2</f>
        <v>291542.5</v>
      </c>
      <c r="H101" s="328">
        <f t="shared" si="12"/>
        <v>36976.783991636737</v>
      </c>
      <c r="I101" s="339">
        <f t="shared" si="13"/>
        <v>36976.783991636737</v>
      </c>
      <c r="J101" s="162">
        <f t="shared" si="14"/>
        <v>0</v>
      </c>
      <c r="K101" s="162"/>
      <c r="L101" s="330"/>
      <c r="M101" s="162">
        <f t="shared" si="9"/>
        <v>0</v>
      </c>
      <c r="N101" s="330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288030</v>
      </c>
      <c r="E102" s="164">
        <f t="shared" si="16"/>
        <v>7025</v>
      </c>
      <c r="F102" s="163">
        <f t="shared" si="17"/>
        <v>281005</v>
      </c>
      <c r="G102" s="163">
        <f t="shared" si="18"/>
        <v>284517.5</v>
      </c>
      <c r="H102" s="328">
        <f t="shared" si="12"/>
        <v>36255.066634677634</v>
      </c>
      <c r="I102" s="339">
        <f t="shared" si="13"/>
        <v>36255.066634677634</v>
      </c>
      <c r="J102" s="162">
        <f t="shared" si="14"/>
        <v>0</v>
      </c>
      <c r="K102" s="162"/>
      <c r="L102" s="330"/>
      <c r="M102" s="162">
        <f t="shared" si="9"/>
        <v>0</v>
      </c>
      <c r="N102" s="330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281005</v>
      </c>
      <c r="E103" s="164">
        <f t="shared" si="16"/>
        <v>7025</v>
      </c>
      <c r="F103" s="163">
        <f t="shared" si="17"/>
        <v>273980</v>
      </c>
      <c r="G103" s="163">
        <f t="shared" si="18"/>
        <v>277492.5</v>
      </c>
      <c r="H103" s="328">
        <f t="shared" si="12"/>
        <v>35533.349277718538</v>
      </c>
      <c r="I103" s="339">
        <f t="shared" si="13"/>
        <v>35533.349277718538</v>
      </c>
      <c r="J103" s="162">
        <f t="shared" si="14"/>
        <v>0</v>
      </c>
      <c r="K103" s="162"/>
      <c r="L103" s="330"/>
      <c r="M103" s="162">
        <f t="shared" si="9"/>
        <v>0</v>
      </c>
      <c r="N103" s="330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273980</v>
      </c>
      <c r="E104" s="164">
        <f t="shared" si="16"/>
        <v>7025</v>
      </c>
      <c r="F104" s="163">
        <f t="shared" si="17"/>
        <v>266955</v>
      </c>
      <c r="G104" s="163">
        <f t="shared" si="18"/>
        <v>270467.5</v>
      </c>
      <c r="H104" s="328">
        <f t="shared" si="12"/>
        <v>34811.631920759435</v>
      </c>
      <c r="I104" s="339">
        <f t="shared" si="13"/>
        <v>34811.631920759435</v>
      </c>
      <c r="J104" s="162">
        <f t="shared" si="14"/>
        <v>0</v>
      </c>
      <c r="K104" s="162"/>
      <c r="L104" s="330"/>
      <c r="M104" s="162">
        <f t="shared" si="9"/>
        <v>0</v>
      </c>
      <c r="N104" s="330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266955</v>
      </c>
      <c r="E105" s="164">
        <f t="shared" si="16"/>
        <v>7025</v>
      </c>
      <c r="F105" s="163">
        <f t="shared" si="17"/>
        <v>259930</v>
      </c>
      <c r="G105" s="163">
        <f t="shared" si="18"/>
        <v>263442.5</v>
      </c>
      <c r="H105" s="328">
        <f t="shared" si="12"/>
        <v>34089.914563800339</v>
      </c>
      <c r="I105" s="339">
        <f t="shared" si="13"/>
        <v>34089.914563800339</v>
      </c>
      <c r="J105" s="162">
        <f t="shared" si="14"/>
        <v>0</v>
      </c>
      <c r="K105" s="162"/>
      <c r="L105" s="330"/>
      <c r="M105" s="162">
        <f t="shared" si="9"/>
        <v>0</v>
      </c>
      <c r="N105" s="330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259930</v>
      </c>
      <c r="E106" s="164">
        <f t="shared" si="16"/>
        <v>7025</v>
      </c>
      <c r="F106" s="163">
        <f t="shared" si="17"/>
        <v>252905</v>
      </c>
      <c r="G106" s="163">
        <f t="shared" si="18"/>
        <v>256417.5</v>
      </c>
      <c r="H106" s="328">
        <f t="shared" si="12"/>
        <v>33368.197206841243</v>
      </c>
      <c r="I106" s="339">
        <f t="shared" si="13"/>
        <v>33368.197206841243</v>
      </c>
      <c r="J106" s="162">
        <f t="shared" si="14"/>
        <v>0</v>
      </c>
      <c r="K106" s="162"/>
      <c r="L106" s="330"/>
      <c r="M106" s="162">
        <f t="shared" si="9"/>
        <v>0</v>
      </c>
      <c r="N106" s="330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252905</v>
      </c>
      <c r="E107" s="164">
        <f t="shared" si="16"/>
        <v>7025</v>
      </c>
      <c r="F107" s="163">
        <f t="shared" si="17"/>
        <v>245880</v>
      </c>
      <c r="G107" s="163">
        <f t="shared" si="18"/>
        <v>249392.5</v>
      </c>
      <c r="H107" s="328">
        <f t="shared" si="12"/>
        <v>32646.479849882144</v>
      </c>
      <c r="I107" s="339">
        <f t="shared" si="13"/>
        <v>32646.479849882144</v>
      </c>
      <c r="J107" s="162">
        <f t="shared" si="14"/>
        <v>0</v>
      </c>
      <c r="K107" s="162"/>
      <c r="L107" s="330"/>
      <c r="M107" s="162">
        <f t="shared" si="9"/>
        <v>0</v>
      </c>
      <c r="N107" s="330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245880</v>
      </c>
      <c r="E108" s="164">
        <f t="shared" si="16"/>
        <v>7025</v>
      </c>
      <c r="F108" s="163">
        <f t="shared" si="17"/>
        <v>238855</v>
      </c>
      <c r="G108" s="163">
        <f t="shared" si="18"/>
        <v>242367.5</v>
      </c>
      <c r="H108" s="328">
        <f t="shared" si="12"/>
        <v>31924.762492923044</v>
      </c>
      <c r="I108" s="339">
        <f t="shared" si="13"/>
        <v>31924.762492923044</v>
      </c>
      <c r="J108" s="162">
        <f t="shared" si="14"/>
        <v>0</v>
      </c>
      <c r="K108" s="162"/>
      <c r="L108" s="330"/>
      <c r="M108" s="162">
        <f t="shared" si="9"/>
        <v>0</v>
      </c>
      <c r="N108" s="330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238855</v>
      </c>
      <c r="E109" s="164">
        <f t="shared" si="16"/>
        <v>7025</v>
      </c>
      <c r="F109" s="163">
        <f t="shared" si="17"/>
        <v>231830</v>
      </c>
      <c r="G109" s="163">
        <f t="shared" si="18"/>
        <v>235342.5</v>
      </c>
      <c r="H109" s="328">
        <f t="shared" si="12"/>
        <v>31203.045135963945</v>
      </c>
      <c r="I109" s="339">
        <f t="shared" si="13"/>
        <v>31203.045135963945</v>
      </c>
      <c r="J109" s="162">
        <f t="shared" si="14"/>
        <v>0</v>
      </c>
      <c r="K109" s="162"/>
      <c r="L109" s="330"/>
      <c r="M109" s="162">
        <f t="shared" si="9"/>
        <v>0</v>
      </c>
      <c r="N109" s="330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231830</v>
      </c>
      <c r="E110" s="164">
        <f t="shared" si="16"/>
        <v>7025</v>
      </c>
      <c r="F110" s="163">
        <f t="shared" si="17"/>
        <v>224805</v>
      </c>
      <c r="G110" s="163">
        <f t="shared" si="18"/>
        <v>228317.5</v>
      </c>
      <c r="H110" s="328">
        <f t="shared" si="12"/>
        <v>30481.327779004845</v>
      </c>
      <c r="I110" s="339">
        <f t="shared" si="13"/>
        <v>30481.327779004845</v>
      </c>
      <c r="J110" s="162">
        <f t="shared" si="14"/>
        <v>0</v>
      </c>
      <c r="K110" s="162"/>
      <c r="L110" s="330"/>
      <c r="M110" s="162">
        <f t="shared" si="9"/>
        <v>0</v>
      </c>
      <c r="N110" s="330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224805</v>
      </c>
      <c r="E111" s="164">
        <f t="shared" si="16"/>
        <v>7025</v>
      </c>
      <c r="F111" s="163">
        <f t="shared" si="17"/>
        <v>217780</v>
      </c>
      <c r="G111" s="163">
        <f t="shared" si="18"/>
        <v>221292.5</v>
      </c>
      <c r="H111" s="328">
        <f t="shared" si="12"/>
        <v>29759.610422045746</v>
      </c>
      <c r="I111" s="339">
        <f t="shared" si="13"/>
        <v>29759.610422045746</v>
      </c>
      <c r="J111" s="162">
        <f t="shared" si="14"/>
        <v>0</v>
      </c>
      <c r="K111" s="162"/>
      <c r="L111" s="330"/>
      <c r="M111" s="162">
        <f t="shared" si="9"/>
        <v>0</v>
      </c>
      <c r="N111" s="330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217780</v>
      </c>
      <c r="E112" s="164">
        <f t="shared" si="16"/>
        <v>7025</v>
      </c>
      <c r="F112" s="163">
        <f t="shared" si="17"/>
        <v>210755</v>
      </c>
      <c r="G112" s="163">
        <f t="shared" si="18"/>
        <v>214267.5</v>
      </c>
      <c r="H112" s="328">
        <f t="shared" si="12"/>
        <v>29037.89306508665</v>
      </c>
      <c r="I112" s="339">
        <f t="shared" si="13"/>
        <v>29037.89306508665</v>
      </c>
      <c r="J112" s="162">
        <f t="shared" si="14"/>
        <v>0</v>
      </c>
      <c r="K112" s="162"/>
      <c r="L112" s="330"/>
      <c r="M112" s="162">
        <f t="shared" si="9"/>
        <v>0</v>
      </c>
      <c r="N112" s="330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210755</v>
      </c>
      <c r="E113" s="164">
        <f t="shared" si="16"/>
        <v>7025</v>
      </c>
      <c r="F113" s="163">
        <f t="shared" si="17"/>
        <v>203730</v>
      </c>
      <c r="G113" s="163">
        <f t="shared" si="18"/>
        <v>207242.5</v>
      </c>
      <c r="H113" s="328">
        <f t="shared" si="12"/>
        <v>28316.17570812755</v>
      </c>
      <c r="I113" s="339">
        <f t="shared" si="13"/>
        <v>28316.17570812755</v>
      </c>
      <c r="J113" s="162">
        <f t="shared" si="14"/>
        <v>0</v>
      </c>
      <c r="K113" s="162"/>
      <c r="L113" s="330"/>
      <c r="M113" s="162">
        <f t="shared" si="9"/>
        <v>0</v>
      </c>
      <c r="N113" s="330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203730</v>
      </c>
      <c r="E114" s="164">
        <f t="shared" si="16"/>
        <v>7025</v>
      </c>
      <c r="F114" s="163">
        <f t="shared" si="17"/>
        <v>196705</v>
      </c>
      <c r="G114" s="163">
        <f t="shared" si="18"/>
        <v>200217.5</v>
      </c>
      <c r="H114" s="328">
        <f t="shared" si="12"/>
        <v>27594.45835116845</v>
      </c>
      <c r="I114" s="339">
        <f t="shared" si="13"/>
        <v>27594.45835116845</v>
      </c>
      <c r="J114" s="162">
        <f t="shared" si="14"/>
        <v>0</v>
      </c>
      <c r="K114" s="162"/>
      <c r="L114" s="330"/>
      <c r="M114" s="162">
        <f t="shared" si="9"/>
        <v>0</v>
      </c>
      <c r="N114" s="330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196705</v>
      </c>
      <c r="E115" s="164">
        <f t="shared" si="16"/>
        <v>7025</v>
      </c>
      <c r="F115" s="163">
        <f t="shared" si="17"/>
        <v>189680</v>
      </c>
      <c r="G115" s="163">
        <f t="shared" si="18"/>
        <v>193192.5</v>
      </c>
      <c r="H115" s="328">
        <f t="shared" si="12"/>
        <v>26872.740994209351</v>
      </c>
      <c r="I115" s="339">
        <f t="shared" si="13"/>
        <v>26872.740994209351</v>
      </c>
      <c r="J115" s="162">
        <f t="shared" si="14"/>
        <v>0</v>
      </c>
      <c r="K115" s="162"/>
      <c r="L115" s="330"/>
      <c r="M115" s="162">
        <f t="shared" si="9"/>
        <v>0</v>
      </c>
      <c r="N115" s="330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189680</v>
      </c>
      <c r="E116" s="164">
        <f t="shared" si="16"/>
        <v>7025</v>
      </c>
      <c r="F116" s="163">
        <f t="shared" si="17"/>
        <v>182655</v>
      </c>
      <c r="G116" s="163">
        <f t="shared" si="18"/>
        <v>186167.5</v>
      </c>
      <c r="H116" s="328">
        <f t="shared" si="12"/>
        <v>26151.023637250251</v>
      </c>
      <c r="I116" s="339">
        <f t="shared" si="13"/>
        <v>26151.023637250251</v>
      </c>
      <c r="J116" s="162">
        <f t="shared" si="14"/>
        <v>0</v>
      </c>
      <c r="K116" s="162"/>
      <c r="L116" s="330"/>
      <c r="M116" s="162">
        <f t="shared" si="9"/>
        <v>0</v>
      </c>
      <c r="N116" s="330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182655</v>
      </c>
      <c r="E117" s="164">
        <f t="shared" si="16"/>
        <v>7025</v>
      </c>
      <c r="F117" s="163">
        <f t="shared" si="17"/>
        <v>175630</v>
      </c>
      <c r="G117" s="163">
        <f t="shared" si="18"/>
        <v>179142.5</v>
      </c>
      <c r="H117" s="328">
        <f t="shared" si="12"/>
        <v>25429.306280291155</v>
      </c>
      <c r="I117" s="339">
        <f t="shared" si="13"/>
        <v>25429.306280291155</v>
      </c>
      <c r="J117" s="162">
        <f t="shared" si="14"/>
        <v>0</v>
      </c>
      <c r="K117" s="162"/>
      <c r="L117" s="330"/>
      <c r="M117" s="162">
        <f t="shared" si="9"/>
        <v>0</v>
      </c>
      <c r="N117" s="330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175630</v>
      </c>
      <c r="E118" s="164">
        <f t="shared" si="16"/>
        <v>7025</v>
      </c>
      <c r="F118" s="163">
        <f t="shared" si="17"/>
        <v>168605</v>
      </c>
      <c r="G118" s="163">
        <f t="shared" si="18"/>
        <v>172117.5</v>
      </c>
      <c r="H118" s="328">
        <f t="shared" si="12"/>
        <v>24707.588923332056</v>
      </c>
      <c r="I118" s="339">
        <f t="shared" si="13"/>
        <v>24707.588923332056</v>
      </c>
      <c r="J118" s="162">
        <f t="shared" si="14"/>
        <v>0</v>
      </c>
      <c r="K118" s="162"/>
      <c r="L118" s="330"/>
      <c r="M118" s="162">
        <f t="shared" si="9"/>
        <v>0</v>
      </c>
      <c r="N118" s="330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168605</v>
      </c>
      <c r="E119" s="164">
        <f t="shared" si="16"/>
        <v>7025</v>
      </c>
      <c r="F119" s="163">
        <f t="shared" si="17"/>
        <v>161580</v>
      </c>
      <c r="G119" s="163">
        <f t="shared" si="18"/>
        <v>165092.5</v>
      </c>
      <c r="H119" s="328">
        <f t="shared" si="12"/>
        <v>23985.871566372956</v>
      </c>
      <c r="I119" s="339">
        <f t="shared" si="13"/>
        <v>23985.871566372956</v>
      </c>
      <c r="J119" s="162">
        <f t="shared" si="14"/>
        <v>0</v>
      </c>
      <c r="K119" s="162"/>
      <c r="L119" s="330"/>
      <c r="M119" s="162">
        <f t="shared" si="9"/>
        <v>0</v>
      </c>
      <c r="N119" s="330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161580</v>
      </c>
      <c r="E120" s="164">
        <f t="shared" si="16"/>
        <v>7025</v>
      </c>
      <c r="F120" s="163">
        <f t="shared" si="17"/>
        <v>154555</v>
      </c>
      <c r="G120" s="163">
        <f t="shared" si="18"/>
        <v>158067.5</v>
      </c>
      <c r="H120" s="328">
        <f t="shared" si="12"/>
        <v>23264.154209413857</v>
      </c>
      <c r="I120" s="339">
        <f t="shared" si="13"/>
        <v>23264.154209413857</v>
      </c>
      <c r="J120" s="162">
        <f t="shared" si="14"/>
        <v>0</v>
      </c>
      <c r="K120" s="162"/>
      <c r="L120" s="330"/>
      <c r="M120" s="162">
        <f t="shared" si="9"/>
        <v>0</v>
      </c>
      <c r="N120" s="330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154555</v>
      </c>
      <c r="E121" s="164">
        <f t="shared" si="16"/>
        <v>7025</v>
      </c>
      <c r="F121" s="163">
        <f t="shared" si="17"/>
        <v>147530</v>
      </c>
      <c r="G121" s="163">
        <f t="shared" si="18"/>
        <v>151042.5</v>
      </c>
      <c r="H121" s="328">
        <f t="shared" si="12"/>
        <v>22542.436852454761</v>
      </c>
      <c r="I121" s="339">
        <f t="shared" si="13"/>
        <v>22542.436852454761</v>
      </c>
      <c r="J121" s="162">
        <f t="shared" si="14"/>
        <v>0</v>
      </c>
      <c r="K121" s="162"/>
      <c r="L121" s="330"/>
      <c r="M121" s="162">
        <f t="shared" si="9"/>
        <v>0</v>
      </c>
      <c r="N121" s="330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147530</v>
      </c>
      <c r="E122" s="164">
        <f t="shared" si="16"/>
        <v>7025</v>
      </c>
      <c r="F122" s="163">
        <f t="shared" si="17"/>
        <v>140505</v>
      </c>
      <c r="G122" s="163">
        <f t="shared" si="18"/>
        <v>144017.5</v>
      </c>
      <c r="H122" s="328">
        <f t="shared" si="12"/>
        <v>21820.719495495658</v>
      </c>
      <c r="I122" s="339">
        <f t="shared" si="13"/>
        <v>21820.719495495658</v>
      </c>
      <c r="J122" s="162">
        <f t="shared" si="14"/>
        <v>0</v>
      </c>
      <c r="K122" s="162"/>
      <c r="L122" s="330"/>
      <c r="M122" s="162">
        <f t="shared" si="9"/>
        <v>0</v>
      </c>
      <c r="N122" s="330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140505</v>
      </c>
      <c r="E123" s="164">
        <f t="shared" si="16"/>
        <v>7025</v>
      </c>
      <c r="F123" s="163">
        <f t="shared" si="17"/>
        <v>133480</v>
      </c>
      <c r="G123" s="163">
        <f t="shared" si="18"/>
        <v>136992.5</v>
      </c>
      <c r="H123" s="328">
        <f t="shared" si="12"/>
        <v>21099.002138536562</v>
      </c>
      <c r="I123" s="339">
        <f t="shared" si="13"/>
        <v>21099.002138536562</v>
      </c>
      <c r="J123" s="162">
        <f t="shared" si="14"/>
        <v>0</v>
      </c>
      <c r="K123" s="162"/>
      <c r="L123" s="330"/>
      <c r="M123" s="162">
        <f t="shared" si="9"/>
        <v>0</v>
      </c>
      <c r="N123" s="330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133480</v>
      </c>
      <c r="E124" s="164">
        <f t="shared" si="16"/>
        <v>7025</v>
      </c>
      <c r="F124" s="163">
        <f t="shared" si="17"/>
        <v>126455</v>
      </c>
      <c r="G124" s="163">
        <f t="shared" si="18"/>
        <v>129967.5</v>
      </c>
      <c r="H124" s="328">
        <f t="shared" si="12"/>
        <v>20377.284781577462</v>
      </c>
      <c r="I124" s="339">
        <f t="shared" si="13"/>
        <v>20377.284781577462</v>
      </c>
      <c r="J124" s="162">
        <f t="shared" si="14"/>
        <v>0</v>
      </c>
      <c r="K124" s="162"/>
      <c r="L124" s="330"/>
      <c r="M124" s="162">
        <f t="shared" si="9"/>
        <v>0</v>
      </c>
      <c r="N124" s="330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126455</v>
      </c>
      <c r="E125" s="164">
        <f t="shared" si="16"/>
        <v>7025</v>
      </c>
      <c r="F125" s="163">
        <f t="shared" si="17"/>
        <v>119430</v>
      </c>
      <c r="G125" s="163">
        <f t="shared" si="18"/>
        <v>122942.5</v>
      </c>
      <c r="H125" s="328">
        <f t="shared" si="12"/>
        <v>19655.567424618363</v>
      </c>
      <c r="I125" s="339">
        <f t="shared" si="13"/>
        <v>19655.567424618363</v>
      </c>
      <c r="J125" s="162">
        <f t="shared" si="14"/>
        <v>0</v>
      </c>
      <c r="K125" s="162"/>
      <c r="L125" s="330"/>
      <c r="M125" s="162">
        <f t="shared" si="9"/>
        <v>0</v>
      </c>
      <c r="N125" s="330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119430</v>
      </c>
      <c r="E126" s="164">
        <f t="shared" si="16"/>
        <v>7025</v>
      </c>
      <c r="F126" s="163">
        <f t="shared" si="17"/>
        <v>112405</v>
      </c>
      <c r="G126" s="163">
        <f t="shared" si="18"/>
        <v>115917.5</v>
      </c>
      <c r="H126" s="328">
        <f t="shared" si="12"/>
        <v>18933.850067659267</v>
      </c>
      <c r="I126" s="339">
        <f t="shared" si="13"/>
        <v>18933.850067659267</v>
      </c>
      <c r="J126" s="162">
        <f t="shared" si="14"/>
        <v>0</v>
      </c>
      <c r="K126" s="162"/>
      <c r="L126" s="330"/>
      <c r="M126" s="162">
        <f t="shared" si="9"/>
        <v>0</v>
      </c>
      <c r="N126" s="330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112405</v>
      </c>
      <c r="E127" s="164">
        <f t="shared" si="16"/>
        <v>7025</v>
      </c>
      <c r="F127" s="163">
        <f t="shared" si="17"/>
        <v>105380</v>
      </c>
      <c r="G127" s="163">
        <f t="shared" si="18"/>
        <v>108892.5</v>
      </c>
      <c r="H127" s="328">
        <f t="shared" si="12"/>
        <v>18212.132710700163</v>
      </c>
      <c r="I127" s="339">
        <f t="shared" si="13"/>
        <v>18212.132710700163</v>
      </c>
      <c r="J127" s="162">
        <f t="shared" si="14"/>
        <v>0</v>
      </c>
      <c r="K127" s="162"/>
      <c r="L127" s="330"/>
      <c r="M127" s="162">
        <f t="shared" si="9"/>
        <v>0</v>
      </c>
      <c r="N127" s="330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105380</v>
      </c>
      <c r="E128" s="164">
        <f t="shared" si="16"/>
        <v>7025</v>
      </c>
      <c r="F128" s="163">
        <f t="shared" si="17"/>
        <v>98355</v>
      </c>
      <c r="G128" s="163">
        <f t="shared" si="18"/>
        <v>101867.5</v>
      </c>
      <c r="H128" s="328">
        <f t="shared" si="12"/>
        <v>17490.415353741068</v>
      </c>
      <c r="I128" s="339">
        <f t="shared" si="13"/>
        <v>17490.415353741068</v>
      </c>
      <c r="J128" s="162">
        <f t="shared" si="14"/>
        <v>0</v>
      </c>
      <c r="K128" s="162"/>
      <c r="L128" s="330"/>
      <c r="M128" s="162">
        <f t="shared" si="9"/>
        <v>0</v>
      </c>
      <c r="N128" s="330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98355</v>
      </c>
      <c r="E129" s="164">
        <f t="shared" si="16"/>
        <v>7025</v>
      </c>
      <c r="F129" s="163">
        <f t="shared" si="17"/>
        <v>91330</v>
      </c>
      <c r="G129" s="163">
        <f t="shared" si="18"/>
        <v>94842.5</v>
      </c>
      <c r="H129" s="328">
        <f t="shared" si="12"/>
        <v>16768.697996781968</v>
      </c>
      <c r="I129" s="339">
        <f t="shared" si="13"/>
        <v>16768.697996781968</v>
      </c>
      <c r="J129" s="162">
        <f t="shared" si="14"/>
        <v>0</v>
      </c>
      <c r="K129" s="162"/>
      <c r="L129" s="330"/>
      <c r="M129" s="162">
        <f t="shared" si="9"/>
        <v>0</v>
      </c>
      <c r="N129" s="330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91330</v>
      </c>
      <c r="E130" s="164">
        <f t="shared" si="16"/>
        <v>7025</v>
      </c>
      <c r="F130" s="163">
        <f t="shared" si="17"/>
        <v>84305</v>
      </c>
      <c r="G130" s="163">
        <f t="shared" si="18"/>
        <v>87817.5</v>
      </c>
      <c r="H130" s="328">
        <f t="shared" si="12"/>
        <v>16046.98063982287</v>
      </c>
      <c r="I130" s="339">
        <f t="shared" si="13"/>
        <v>16046.98063982287</v>
      </c>
      <c r="J130" s="162">
        <f t="shared" si="14"/>
        <v>0</v>
      </c>
      <c r="K130" s="162"/>
      <c r="L130" s="330"/>
      <c r="M130" s="162">
        <f t="shared" si="9"/>
        <v>0</v>
      </c>
      <c r="N130" s="330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84305</v>
      </c>
      <c r="E131" s="164">
        <f t="shared" si="16"/>
        <v>7025</v>
      </c>
      <c r="F131" s="163">
        <f t="shared" si="17"/>
        <v>77280</v>
      </c>
      <c r="G131" s="163">
        <f t="shared" si="18"/>
        <v>80792.5</v>
      </c>
      <c r="H131" s="328">
        <f t="shared" si="12"/>
        <v>15325.263282863771</v>
      </c>
      <c r="I131" s="339">
        <f t="shared" si="13"/>
        <v>15325.263282863771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77280</v>
      </c>
      <c r="E132" s="164">
        <f t="shared" si="16"/>
        <v>7025</v>
      </c>
      <c r="F132" s="163">
        <f t="shared" si="17"/>
        <v>70255</v>
      </c>
      <c r="G132" s="163">
        <f t="shared" si="18"/>
        <v>73767.5</v>
      </c>
      <c r="H132" s="328">
        <f t="shared" si="12"/>
        <v>14603.545925904673</v>
      </c>
      <c r="I132" s="339">
        <f t="shared" si="13"/>
        <v>14603.545925904673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70255</v>
      </c>
      <c r="E133" s="164">
        <f t="shared" si="16"/>
        <v>7025</v>
      </c>
      <c r="F133" s="163">
        <f t="shared" si="17"/>
        <v>63230</v>
      </c>
      <c r="G133" s="163">
        <f t="shared" si="18"/>
        <v>66742.5</v>
      </c>
      <c r="H133" s="328">
        <f t="shared" si="12"/>
        <v>13881.828568945573</v>
      </c>
      <c r="I133" s="339">
        <f t="shared" si="13"/>
        <v>13881.828568945573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63230</v>
      </c>
      <c r="E134" s="164">
        <f t="shared" si="16"/>
        <v>7025</v>
      </c>
      <c r="F134" s="163">
        <f t="shared" si="17"/>
        <v>56205</v>
      </c>
      <c r="G134" s="163">
        <f t="shared" si="18"/>
        <v>59717.5</v>
      </c>
      <c r="H134" s="328">
        <f t="shared" si="12"/>
        <v>13160.111211986474</v>
      </c>
      <c r="I134" s="339">
        <f t="shared" si="13"/>
        <v>13160.111211986474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56205</v>
      </c>
      <c r="E135" s="164">
        <f t="shared" si="16"/>
        <v>7025</v>
      </c>
      <c r="F135" s="163">
        <f t="shared" si="17"/>
        <v>49180</v>
      </c>
      <c r="G135" s="163">
        <f t="shared" si="18"/>
        <v>52692.5</v>
      </c>
      <c r="H135" s="328">
        <f t="shared" si="12"/>
        <v>12438.393855027376</v>
      </c>
      <c r="I135" s="339">
        <f t="shared" si="13"/>
        <v>12438.393855027376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49180</v>
      </c>
      <c r="E136" s="164">
        <f t="shared" si="16"/>
        <v>7025</v>
      </c>
      <c r="F136" s="163">
        <f t="shared" si="17"/>
        <v>42155</v>
      </c>
      <c r="G136" s="163">
        <f t="shared" si="18"/>
        <v>45667.5</v>
      </c>
      <c r="H136" s="328">
        <f t="shared" si="12"/>
        <v>11716.676498068276</v>
      </c>
      <c r="I136" s="339">
        <f t="shared" si="13"/>
        <v>11716.676498068276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42155</v>
      </c>
      <c r="E137" s="164">
        <f t="shared" si="16"/>
        <v>7025</v>
      </c>
      <c r="F137" s="163">
        <f t="shared" si="17"/>
        <v>35130</v>
      </c>
      <c r="G137" s="163">
        <f t="shared" si="18"/>
        <v>38642.5</v>
      </c>
      <c r="H137" s="328">
        <f t="shared" si="12"/>
        <v>10994.959141109179</v>
      </c>
      <c r="I137" s="339">
        <f t="shared" si="13"/>
        <v>10994.959141109179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35130</v>
      </c>
      <c r="E138" s="164">
        <f t="shared" si="16"/>
        <v>7025</v>
      </c>
      <c r="F138" s="163">
        <f t="shared" si="17"/>
        <v>28105</v>
      </c>
      <c r="G138" s="163">
        <f t="shared" si="18"/>
        <v>31617.5</v>
      </c>
      <c r="H138" s="328">
        <f t="shared" si="12"/>
        <v>10273.241784150079</v>
      </c>
      <c r="I138" s="339">
        <f t="shared" si="13"/>
        <v>10273.241784150079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28105</v>
      </c>
      <c r="E139" s="164">
        <f t="shared" si="16"/>
        <v>7025</v>
      </c>
      <c r="F139" s="163">
        <f t="shared" si="17"/>
        <v>21080</v>
      </c>
      <c r="G139" s="163">
        <f t="shared" si="18"/>
        <v>24592.5</v>
      </c>
      <c r="H139" s="328">
        <f t="shared" si="12"/>
        <v>9551.5244271909796</v>
      </c>
      <c r="I139" s="339">
        <f t="shared" si="13"/>
        <v>9551.5244271909796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21080</v>
      </c>
      <c r="E140" s="164">
        <f t="shared" si="16"/>
        <v>7025</v>
      </c>
      <c r="F140" s="163">
        <f t="shared" si="17"/>
        <v>14055</v>
      </c>
      <c r="G140" s="163">
        <f t="shared" si="18"/>
        <v>17567.5</v>
      </c>
      <c r="H140" s="328">
        <f t="shared" si="12"/>
        <v>8829.8070702318819</v>
      </c>
      <c r="I140" s="339">
        <f t="shared" si="13"/>
        <v>8829.8070702318819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14055</v>
      </c>
      <c r="E141" s="164">
        <f t="shared" si="16"/>
        <v>7025</v>
      </c>
      <c r="F141" s="163">
        <f t="shared" si="17"/>
        <v>7030</v>
      </c>
      <c r="G141" s="163">
        <f t="shared" si="18"/>
        <v>10542.5</v>
      </c>
      <c r="H141" s="328">
        <f t="shared" si="12"/>
        <v>8108.0897132727823</v>
      </c>
      <c r="I141" s="339">
        <f t="shared" si="13"/>
        <v>8108.0897132727823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7030</v>
      </c>
      <c r="E142" s="164">
        <f t="shared" si="16"/>
        <v>7025</v>
      </c>
      <c r="F142" s="163">
        <f t="shared" si="17"/>
        <v>5</v>
      </c>
      <c r="G142" s="163">
        <f t="shared" si="18"/>
        <v>3517.5</v>
      </c>
      <c r="H142" s="328">
        <f t="shared" si="12"/>
        <v>7386.3723563136837</v>
      </c>
      <c r="I142" s="339">
        <f t="shared" si="13"/>
        <v>7386.3723563136837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5</v>
      </c>
      <c r="E143" s="164">
        <f t="shared" si="16"/>
        <v>5</v>
      </c>
      <c r="F143" s="163">
        <f t="shared" si="17"/>
        <v>0</v>
      </c>
      <c r="G143" s="163">
        <f t="shared" si="18"/>
        <v>2.5</v>
      </c>
      <c r="H143" s="328">
        <f t="shared" si="12"/>
        <v>5.2568389170672951</v>
      </c>
      <c r="I143" s="339">
        <f t="shared" si="13"/>
        <v>5.2568389170672951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2"/>
        <v>0</v>
      </c>
      <c r="I144" s="339">
        <f t="shared" si="13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2"/>
        <v>0</v>
      </c>
      <c r="I145" s="339">
        <f t="shared" si="13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2"/>
        <v>0</v>
      </c>
      <c r="I146" s="339">
        <f t="shared" si="13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2"/>
        <v>0</v>
      </c>
      <c r="I147" s="339">
        <f t="shared" si="13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2"/>
        <v>0</v>
      </c>
      <c r="I148" s="339">
        <f t="shared" si="13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2"/>
        <v>0</v>
      </c>
      <c r="I149" s="339">
        <f t="shared" si="13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2"/>
        <v>0</v>
      </c>
      <c r="I150" s="339">
        <f t="shared" si="13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2"/>
        <v>0</v>
      </c>
      <c r="I151" s="339">
        <f t="shared" si="13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2"/>
        <v>0</v>
      </c>
      <c r="I152" s="339">
        <f t="shared" si="13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2"/>
        <v>0</v>
      </c>
      <c r="I153" s="339">
        <f t="shared" si="13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2"/>
        <v>0</v>
      </c>
      <c r="I154" s="341">
        <f t="shared" si="13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302080</v>
      </c>
      <c r="F155" s="115"/>
      <c r="G155" s="115"/>
      <c r="H155" s="115">
        <f>SUM(H99:H154)</f>
        <v>984847.22150800936</v>
      </c>
      <c r="I155" s="115">
        <f>SUM(I99:I154)</f>
        <v>984847.22150800936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6" zoomScaleNormal="86" workbookViewId="0"/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26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0</v>
      </c>
      <c r="O6" s="1"/>
      <c r="P6" s="1"/>
    </row>
    <row r="7" spans="1:16" ht="13.5" thickBot="1">
      <c r="C7" s="127" t="s">
        <v>46</v>
      </c>
      <c r="D7" s="227" t="s">
        <v>108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/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/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4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2017</v>
      </c>
      <c r="D17" s="158">
        <v>0</v>
      </c>
      <c r="E17" s="159">
        <f>IF(D10&gt;=100000,I$14/12*(12-D12),0)</f>
        <v>0</v>
      </c>
      <c r="F17" s="163">
        <f>IF(D11=C17,+D10-E17,+D17-E17)</f>
        <v>0</v>
      </c>
      <c r="G17" s="159">
        <f>(D17+F17)/2*I$12+E17</f>
        <v>0</v>
      </c>
      <c r="H17" s="147">
        <f>+(D17+F17)/2*I$13+E17</f>
        <v>0</v>
      </c>
      <c r="I17" s="160">
        <f>H17-G17</f>
        <v>0</v>
      </c>
      <c r="J17" s="160"/>
      <c r="K17" s="332"/>
      <c r="L17" s="161">
        <f t="shared" ref="L17:L72" si="0">IF(K17&lt;&gt;0,+G17-K17,0)</f>
        <v>0</v>
      </c>
      <c r="M17" s="332"/>
      <c r="N17" s="161">
        <f t="shared" ref="N17:N72" si="1">IF(M17&lt;&gt;0,+H17-M17,0)</f>
        <v>0</v>
      </c>
      <c r="O17" s="162">
        <f t="shared" ref="O17:O72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166">
        <f>IF(F17+SUM(E$17:E17)=D$10,F17,D$10-SUM(E$17:E17))</f>
        <v>0</v>
      </c>
      <c r="E18" s="164">
        <f>IF(+I$14&lt;F17,I$14,D18)</f>
        <v>0</v>
      </c>
      <c r="F18" s="163">
        <f>+D18-E18</f>
        <v>0</v>
      </c>
      <c r="G18" s="165">
        <f>(D18+F18)/2*I$12+E18</f>
        <v>0</v>
      </c>
      <c r="H18" s="147">
        <f>+(D18+F18)/2*I$13+E18</f>
        <v>0</v>
      </c>
      <c r="I18" s="160">
        <f>H18-G18</f>
        <v>0</v>
      </c>
      <c r="J18" s="160"/>
      <c r="K18" s="330"/>
      <c r="L18" s="162">
        <f t="shared" si="0"/>
        <v>0</v>
      </c>
      <c r="M18" s="330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0</v>
      </c>
      <c r="E19" s="164">
        <f t="shared" ref="E19:E71" si="3">IF(+I$14&lt;F18,I$14,D19)</f>
        <v>0</v>
      </c>
      <c r="F19" s="163">
        <f t="shared" ref="F19:F71" si="4">+D19-E19</f>
        <v>0</v>
      </c>
      <c r="G19" s="165">
        <f t="shared" ref="G19:G71" si="5">(D19+F19)/2*I$12+E19</f>
        <v>0</v>
      </c>
      <c r="H19" s="147">
        <f t="shared" ref="H19:H71" si="6">+(D19+F19)/2*I$13+E19</f>
        <v>0</v>
      </c>
      <c r="I19" s="160">
        <f t="shared" ref="I19:I71" si="7">H19-G19</f>
        <v>0</v>
      </c>
      <c r="J19" s="160"/>
      <c r="K19" s="330"/>
      <c r="L19" s="162">
        <f t="shared" si="0"/>
        <v>0</v>
      </c>
      <c r="M19" s="330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0</v>
      </c>
      <c r="E20" s="164">
        <f t="shared" si="3"/>
        <v>0</v>
      </c>
      <c r="F20" s="163">
        <f t="shared" si="4"/>
        <v>0</v>
      </c>
      <c r="G20" s="165">
        <f t="shared" si="5"/>
        <v>0</v>
      </c>
      <c r="H20" s="147">
        <f t="shared" si="6"/>
        <v>0</v>
      </c>
      <c r="I20" s="160">
        <f t="shared" si="7"/>
        <v>0</v>
      </c>
      <c r="J20" s="160"/>
      <c r="K20" s="330"/>
      <c r="L20" s="162">
        <f t="shared" si="0"/>
        <v>0</v>
      </c>
      <c r="M20" s="330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0</v>
      </c>
      <c r="E21" s="164">
        <f t="shared" si="3"/>
        <v>0</v>
      </c>
      <c r="F21" s="163">
        <f t="shared" si="4"/>
        <v>0</v>
      </c>
      <c r="G21" s="165">
        <f t="shared" si="5"/>
        <v>0</v>
      </c>
      <c r="H21" s="147">
        <f t="shared" si="6"/>
        <v>0</v>
      </c>
      <c r="I21" s="160">
        <f t="shared" si="7"/>
        <v>0</v>
      </c>
      <c r="J21" s="160"/>
      <c r="K21" s="330"/>
      <c r="L21" s="162">
        <f t="shared" si="0"/>
        <v>0</v>
      </c>
      <c r="M21" s="330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0</v>
      </c>
      <c r="E22" s="164">
        <f t="shared" si="3"/>
        <v>0</v>
      </c>
      <c r="F22" s="163">
        <f t="shared" si="4"/>
        <v>0</v>
      </c>
      <c r="G22" s="165">
        <f t="shared" si="5"/>
        <v>0</v>
      </c>
      <c r="H22" s="147">
        <f t="shared" si="6"/>
        <v>0</v>
      </c>
      <c r="I22" s="160">
        <f t="shared" si="7"/>
        <v>0</v>
      </c>
      <c r="J22" s="160"/>
      <c r="K22" s="330"/>
      <c r="L22" s="162">
        <f t="shared" si="0"/>
        <v>0</v>
      </c>
      <c r="M22" s="330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0</v>
      </c>
      <c r="E23" s="164">
        <f t="shared" si="3"/>
        <v>0</v>
      </c>
      <c r="F23" s="163">
        <f t="shared" si="4"/>
        <v>0</v>
      </c>
      <c r="G23" s="165">
        <f t="shared" si="5"/>
        <v>0</v>
      </c>
      <c r="H23" s="147">
        <f t="shared" si="6"/>
        <v>0</v>
      </c>
      <c r="I23" s="160">
        <f t="shared" si="7"/>
        <v>0</v>
      </c>
      <c r="J23" s="160"/>
      <c r="K23" s="330"/>
      <c r="L23" s="162">
        <f t="shared" si="0"/>
        <v>0</v>
      </c>
      <c r="M23" s="330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0</v>
      </c>
      <c r="E24" s="164">
        <f t="shared" si="3"/>
        <v>0</v>
      </c>
      <c r="F24" s="163">
        <f t="shared" si="4"/>
        <v>0</v>
      </c>
      <c r="G24" s="165">
        <f t="shared" si="5"/>
        <v>0</v>
      </c>
      <c r="H24" s="147">
        <f t="shared" si="6"/>
        <v>0</v>
      </c>
      <c r="I24" s="160">
        <f t="shared" si="7"/>
        <v>0</v>
      </c>
      <c r="J24" s="160"/>
      <c r="K24" s="330"/>
      <c r="L24" s="162">
        <f t="shared" si="0"/>
        <v>0</v>
      </c>
      <c r="M24" s="330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0</v>
      </c>
      <c r="E25" s="164">
        <f t="shared" si="3"/>
        <v>0</v>
      </c>
      <c r="F25" s="163">
        <f t="shared" si="4"/>
        <v>0</v>
      </c>
      <c r="G25" s="165">
        <f t="shared" si="5"/>
        <v>0</v>
      </c>
      <c r="H25" s="147">
        <f t="shared" si="6"/>
        <v>0</v>
      </c>
      <c r="I25" s="160">
        <f t="shared" si="7"/>
        <v>0</v>
      </c>
      <c r="J25" s="160"/>
      <c r="K25" s="330"/>
      <c r="L25" s="162">
        <f t="shared" si="0"/>
        <v>0</v>
      </c>
      <c r="M25" s="330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0</v>
      </c>
      <c r="E26" s="164">
        <f t="shared" si="3"/>
        <v>0</v>
      </c>
      <c r="F26" s="163">
        <f t="shared" si="4"/>
        <v>0</v>
      </c>
      <c r="G26" s="165">
        <f t="shared" si="5"/>
        <v>0</v>
      </c>
      <c r="H26" s="147">
        <f t="shared" si="6"/>
        <v>0</v>
      </c>
      <c r="I26" s="160">
        <f t="shared" si="7"/>
        <v>0</v>
      </c>
      <c r="J26" s="160"/>
      <c r="K26" s="330"/>
      <c r="L26" s="162">
        <f t="shared" si="0"/>
        <v>0</v>
      </c>
      <c r="M26" s="330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0</v>
      </c>
      <c r="E27" s="164">
        <f t="shared" si="3"/>
        <v>0</v>
      </c>
      <c r="F27" s="163">
        <f t="shared" si="4"/>
        <v>0</v>
      </c>
      <c r="G27" s="165">
        <f t="shared" si="5"/>
        <v>0</v>
      </c>
      <c r="H27" s="147">
        <f t="shared" si="6"/>
        <v>0</v>
      </c>
      <c r="I27" s="160">
        <f t="shared" si="7"/>
        <v>0</v>
      </c>
      <c r="J27" s="160"/>
      <c r="K27" s="330"/>
      <c r="L27" s="162">
        <f t="shared" si="0"/>
        <v>0</v>
      </c>
      <c r="M27" s="330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0</v>
      </c>
      <c r="E28" s="164">
        <f t="shared" si="3"/>
        <v>0</v>
      </c>
      <c r="F28" s="163">
        <f t="shared" si="4"/>
        <v>0</v>
      </c>
      <c r="G28" s="165">
        <f t="shared" si="5"/>
        <v>0</v>
      </c>
      <c r="H28" s="147">
        <f t="shared" si="6"/>
        <v>0</v>
      </c>
      <c r="I28" s="160">
        <f t="shared" si="7"/>
        <v>0</v>
      </c>
      <c r="J28" s="160"/>
      <c r="K28" s="330"/>
      <c r="L28" s="162">
        <f t="shared" si="0"/>
        <v>0</v>
      </c>
      <c r="M28" s="330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0</v>
      </c>
      <c r="E29" s="164">
        <f t="shared" si="3"/>
        <v>0</v>
      </c>
      <c r="F29" s="163">
        <f t="shared" si="4"/>
        <v>0</v>
      </c>
      <c r="G29" s="165">
        <f t="shared" si="5"/>
        <v>0</v>
      </c>
      <c r="H29" s="147">
        <f t="shared" si="6"/>
        <v>0</v>
      </c>
      <c r="I29" s="160">
        <f t="shared" si="7"/>
        <v>0</v>
      </c>
      <c r="J29" s="160"/>
      <c r="K29" s="330"/>
      <c r="L29" s="162">
        <f t="shared" si="0"/>
        <v>0</v>
      </c>
      <c r="M29" s="330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0</v>
      </c>
      <c r="E30" s="164">
        <f t="shared" si="3"/>
        <v>0</v>
      </c>
      <c r="F30" s="163">
        <f t="shared" si="4"/>
        <v>0</v>
      </c>
      <c r="G30" s="165">
        <f t="shared" si="5"/>
        <v>0</v>
      </c>
      <c r="H30" s="147">
        <f t="shared" si="6"/>
        <v>0</v>
      </c>
      <c r="I30" s="160">
        <f t="shared" si="7"/>
        <v>0</v>
      </c>
      <c r="J30" s="160"/>
      <c r="K30" s="330"/>
      <c r="L30" s="162">
        <f t="shared" si="0"/>
        <v>0</v>
      </c>
      <c r="M30" s="330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0</v>
      </c>
      <c r="E31" s="164">
        <f t="shared" si="3"/>
        <v>0</v>
      </c>
      <c r="F31" s="163">
        <f t="shared" si="4"/>
        <v>0</v>
      </c>
      <c r="G31" s="165">
        <f t="shared" si="5"/>
        <v>0</v>
      </c>
      <c r="H31" s="147">
        <f t="shared" si="6"/>
        <v>0</v>
      </c>
      <c r="I31" s="160">
        <f t="shared" si="7"/>
        <v>0</v>
      </c>
      <c r="J31" s="160"/>
      <c r="K31" s="330"/>
      <c r="L31" s="162">
        <f t="shared" si="0"/>
        <v>0</v>
      </c>
      <c r="M31" s="330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0</v>
      </c>
      <c r="E32" s="164">
        <f t="shared" si="3"/>
        <v>0</v>
      </c>
      <c r="F32" s="163">
        <f t="shared" si="4"/>
        <v>0</v>
      </c>
      <c r="G32" s="165">
        <f t="shared" si="5"/>
        <v>0</v>
      </c>
      <c r="H32" s="147">
        <f t="shared" si="6"/>
        <v>0</v>
      </c>
      <c r="I32" s="160">
        <f t="shared" si="7"/>
        <v>0</v>
      </c>
      <c r="J32" s="160"/>
      <c r="K32" s="330"/>
      <c r="L32" s="162">
        <f t="shared" si="0"/>
        <v>0</v>
      </c>
      <c r="M32" s="330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0</v>
      </c>
      <c r="E33" s="164">
        <f t="shared" si="3"/>
        <v>0</v>
      </c>
      <c r="F33" s="163">
        <f t="shared" si="4"/>
        <v>0</v>
      </c>
      <c r="G33" s="165">
        <f t="shared" si="5"/>
        <v>0</v>
      </c>
      <c r="H33" s="147">
        <f t="shared" si="6"/>
        <v>0</v>
      </c>
      <c r="I33" s="160">
        <f t="shared" si="7"/>
        <v>0</v>
      </c>
      <c r="J33" s="160"/>
      <c r="K33" s="330"/>
      <c r="L33" s="162">
        <f t="shared" si="0"/>
        <v>0</v>
      </c>
      <c r="M33" s="330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0</v>
      </c>
      <c r="E34" s="164">
        <f t="shared" si="3"/>
        <v>0</v>
      </c>
      <c r="F34" s="163">
        <f t="shared" si="4"/>
        <v>0</v>
      </c>
      <c r="G34" s="165">
        <f t="shared" si="5"/>
        <v>0</v>
      </c>
      <c r="H34" s="147">
        <f t="shared" si="6"/>
        <v>0</v>
      </c>
      <c r="I34" s="160">
        <f t="shared" si="7"/>
        <v>0</v>
      </c>
      <c r="J34" s="160"/>
      <c r="K34" s="330"/>
      <c r="L34" s="162">
        <f t="shared" si="0"/>
        <v>0</v>
      </c>
      <c r="M34" s="330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0</v>
      </c>
      <c r="E35" s="164">
        <f t="shared" si="3"/>
        <v>0</v>
      </c>
      <c r="F35" s="163">
        <f t="shared" si="4"/>
        <v>0</v>
      </c>
      <c r="G35" s="165">
        <f t="shared" si="5"/>
        <v>0</v>
      </c>
      <c r="H35" s="147">
        <f t="shared" si="6"/>
        <v>0</v>
      </c>
      <c r="I35" s="160">
        <f t="shared" si="7"/>
        <v>0</v>
      </c>
      <c r="J35" s="160"/>
      <c r="K35" s="330"/>
      <c r="L35" s="162">
        <f t="shared" si="0"/>
        <v>0</v>
      </c>
      <c r="M35" s="330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0</v>
      </c>
      <c r="E36" s="164">
        <f t="shared" si="3"/>
        <v>0</v>
      </c>
      <c r="F36" s="163">
        <f t="shared" si="4"/>
        <v>0</v>
      </c>
      <c r="G36" s="165">
        <f t="shared" si="5"/>
        <v>0</v>
      </c>
      <c r="H36" s="147">
        <f t="shared" si="6"/>
        <v>0</v>
      </c>
      <c r="I36" s="160">
        <f t="shared" si="7"/>
        <v>0</v>
      </c>
      <c r="J36" s="160"/>
      <c r="K36" s="330"/>
      <c r="L36" s="162">
        <f t="shared" si="0"/>
        <v>0</v>
      </c>
      <c r="M36" s="330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0</v>
      </c>
      <c r="E37" s="164">
        <f t="shared" si="3"/>
        <v>0</v>
      </c>
      <c r="F37" s="163">
        <f t="shared" si="4"/>
        <v>0</v>
      </c>
      <c r="G37" s="165">
        <f t="shared" si="5"/>
        <v>0</v>
      </c>
      <c r="H37" s="147">
        <f t="shared" si="6"/>
        <v>0</v>
      </c>
      <c r="I37" s="160">
        <f t="shared" si="7"/>
        <v>0</v>
      </c>
      <c r="J37" s="160"/>
      <c r="K37" s="330"/>
      <c r="L37" s="162">
        <f t="shared" si="0"/>
        <v>0</v>
      </c>
      <c r="M37" s="330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0</v>
      </c>
      <c r="E38" s="164">
        <f t="shared" si="3"/>
        <v>0</v>
      </c>
      <c r="F38" s="163">
        <f t="shared" si="4"/>
        <v>0</v>
      </c>
      <c r="G38" s="165">
        <f t="shared" si="5"/>
        <v>0</v>
      </c>
      <c r="H38" s="147">
        <f t="shared" si="6"/>
        <v>0</v>
      </c>
      <c r="I38" s="160">
        <f t="shared" si="7"/>
        <v>0</v>
      </c>
      <c r="J38" s="160"/>
      <c r="K38" s="330"/>
      <c r="L38" s="162">
        <f t="shared" si="0"/>
        <v>0</v>
      </c>
      <c r="M38" s="330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0</v>
      </c>
      <c r="E39" s="164">
        <f t="shared" si="3"/>
        <v>0</v>
      </c>
      <c r="F39" s="163">
        <f t="shared" si="4"/>
        <v>0</v>
      </c>
      <c r="G39" s="165">
        <f t="shared" si="5"/>
        <v>0</v>
      </c>
      <c r="H39" s="147">
        <f t="shared" si="6"/>
        <v>0</v>
      </c>
      <c r="I39" s="160">
        <f t="shared" si="7"/>
        <v>0</v>
      </c>
      <c r="J39" s="160"/>
      <c r="K39" s="330"/>
      <c r="L39" s="162">
        <f t="shared" si="0"/>
        <v>0</v>
      </c>
      <c r="M39" s="330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0</v>
      </c>
      <c r="E40" s="164">
        <f t="shared" si="3"/>
        <v>0</v>
      </c>
      <c r="F40" s="163">
        <f t="shared" si="4"/>
        <v>0</v>
      </c>
      <c r="G40" s="165">
        <f t="shared" si="5"/>
        <v>0</v>
      </c>
      <c r="H40" s="147">
        <f t="shared" si="6"/>
        <v>0</v>
      </c>
      <c r="I40" s="160">
        <f t="shared" si="7"/>
        <v>0</v>
      </c>
      <c r="J40" s="160"/>
      <c r="K40" s="330"/>
      <c r="L40" s="162">
        <f t="shared" si="0"/>
        <v>0</v>
      </c>
      <c r="M40" s="330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0</v>
      </c>
      <c r="E41" s="164">
        <f t="shared" si="3"/>
        <v>0</v>
      </c>
      <c r="F41" s="163">
        <f t="shared" si="4"/>
        <v>0</v>
      </c>
      <c r="G41" s="165">
        <f t="shared" si="5"/>
        <v>0</v>
      </c>
      <c r="H41" s="147">
        <f t="shared" si="6"/>
        <v>0</v>
      </c>
      <c r="I41" s="160">
        <f t="shared" si="7"/>
        <v>0</v>
      </c>
      <c r="J41" s="160"/>
      <c r="K41" s="330"/>
      <c r="L41" s="162">
        <f t="shared" si="0"/>
        <v>0</v>
      </c>
      <c r="M41" s="330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0</v>
      </c>
      <c r="E42" s="164">
        <f t="shared" si="3"/>
        <v>0</v>
      </c>
      <c r="F42" s="163">
        <f t="shared" si="4"/>
        <v>0</v>
      </c>
      <c r="G42" s="165">
        <f t="shared" si="5"/>
        <v>0</v>
      </c>
      <c r="H42" s="147">
        <f t="shared" si="6"/>
        <v>0</v>
      </c>
      <c r="I42" s="160">
        <f t="shared" si="7"/>
        <v>0</v>
      </c>
      <c r="J42" s="160"/>
      <c r="K42" s="330"/>
      <c r="L42" s="162">
        <f t="shared" si="0"/>
        <v>0</v>
      </c>
      <c r="M42" s="330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0</v>
      </c>
      <c r="E43" s="164">
        <f t="shared" si="3"/>
        <v>0</v>
      </c>
      <c r="F43" s="163">
        <f t="shared" si="4"/>
        <v>0</v>
      </c>
      <c r="G43" s="165">
        <f t="shared" si="5"/>
        <v>0</v>
      </c>
      <c r="H43" s="147">
        <f t="shared" si="6"/>
        <v>0</v>
      </c>
      <c r="I43" s="160">
        <f t="shared" si="7"/>
        <v>0</v>
      </c>
      <c r="J43" s="160"/>
      <c r="K43" s="330"/>
      <c r="L43" s="162">
        <f t="shared" si="0"/>
        <v>0</v>
      </c>
      <c r="M43" s="330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0</v>
      </c>
      <c r="E44" s="164">
        <f t="shared" si="3"/>
        <v>0</v>
      </c>
      <c r="F44" s="163">
        <f t="shared" si="4"/>
        <v>0</v>
      </c>
      <c r="G44" s="165">
        <f t="shared" si="5"/>
        <v>0</v>
      </c>
      <c r="H44" s="147">
        <f t="shared" si="6"/>
        <v>0</v>
      </c>
      <c r="I44" s="160">
        <f t="shared" si="7"/>
        <v>0</v>
      </c>
      <c r="J44" s="160"/>
      <c r="K44" s="330"/>
      <c r="L44" s="162">
        <f t="shared" si="0"/>
        <v>0</v>
      </c>
      <c r="M44" s="330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0</v>
      </c>
      <c r="E45" s="164">
        <f t="shared" si="3"/>
        <v>0</v>
      </c>
      <c r="F45" s="163">
        <f t="shared" si="4"/>
        <v>0</v>
      </c>
      <c r="G45" s="165">
        <f t="shared" si="5"/>
        <v>0</v>
      </c>
      <c r="H45" s="147">
        <f t="shared" si="6"/>
        <v>0</v>
      </c>
      <c r="I45" s="160">
        <f t="shared" si="7"/>
        <v>0</v>
      </c>
      <c r="J45" s="160"/>
      <c r="K45" s="330"/>
      <c r="L45" s="162">
        <f t="shared" si="0"/>
        <v>0</v>
      </c>
      <c r="M45" s="330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0</v>
      </c>
      <c r="E46" s="164">
        <f t="shared" si="3"/>
        <v>0</v>
      </c>
      <c r="F46" s="163">
        <f t="shared" si="4"/>
        <v>0</v>
      </c>
      <c r="G46" s="165">
        <f t="shared" si="5"/>
        <v>0</v>
      </c>
      <c r="H46" s="147">
        <f t="shared" si="6"/>
        <v>0</v>
      </c>
      <c r="I46" s="160">
        <f t="shared" si="7"/>
        <v>0</v>
      </c>
      <c r="J46" s="160"/>
      <c r="K46" s="330"/>
      <c r="L46" s="162">
        <f t="shared" si="0"/>
        <v>0</v>
      </c>
      <c r="M46" s="330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0</v>
      </c>
      <c r="E47" s="164">
        <f t="shared" si="3"/>
        <v>0</v>
      </c>
      <c r="F47" s="163">
        <f t="shared" si="4"/>
        <v>0</v>
      </c>
      <c r="G47" s="165">
        <f t="shared" si="5"/>
        <v>0</v>
      </c>
      <c r="H47" s="147">
        <f t="shared" si="6"/>
        <v>0</v>
      </c>
      <c r="I47" s="160">
        <f t="shared" si="7"/>
        <v>0</v>
      </c>
      <c r="J47" s="160"/>
      <c r="K47" s="330"/>
      <c r="L47" s="162">
        <f t="shared" si="0"/>
        <v>0</v>
      </c>
      <c r="M47" s="330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0</v>
      </c>
      <c r="E48" s="164">
        <f t="shared" si="3"/>
        <v>0</v>
      </c>
      <c r="F48" s="163">
        <f t="shared" si="4"/>
        <v>0</v>
      </c>
      <c r="G48" s="165">
        <f t="shared" si="5"/>
        <v>0</v>
      </c>
      <c r="H48" s="147">
        <f t="shared" si="6"/>
        <v>0</v>
      </c>
      <c r="I48" s="160">
        <f t="shared" si="7"/>
        <v>0</v>
      </c>
      <c r="J48" s="160"/>
      <c r="K48" s="330"/>
      <c r="L48" s="162">
        <f t="shared" si="0"/>
        <v>0</v>
      </c>
      <c r="M48" s="330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0</v>
      </c>
      <c r="E49" s="164">
        <f t="shared" si="3"/>
        <v>0</v>
      </c>
      <c r="F49" s="163">
        <f t="shared" si="4"/>
        <v>0</v>
      </c>
      <c r="G49" s="165">
        <f t="shared" si="5"/>
        <v>0</v>
      </c>
      <c r="H49" s="147">
        <f t="shared" si="6"/>
        <v>0</v>
      </c>
      <c r="I49" s="160">
        <f t="shared" si="7"/>
        <v>0</v>
      </c>
      <c r="J49" s="160"/>
      <c r="K49" s="330"/>
      <c r="L49" s="162">
        <f t="shared" si="0"/>
        <v>0</v>
      </c>
      <c r="M49" s="330"/>
      <c r="N49" s="162">
        <f t="shared" si="1"/>
        <v>0</v>
      </c>
      <c r="O49" s="162">
        <f t="shared" si="2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0</v>
      </c>
      <c r="E50" s="164">
        <f t="shared" si="3"/>
        <v>0</v>
      </c>
      <c r="F50" s="163">
        <f t="shared" si="4"/>
        <v>0</v>
      </c>
      <c r="G50" s="165">
        <f t="shared" si="5"/>
        <v>0</v>
      </c>
      <c r="H50" s="147">
        <f t="shared" si="6"/>
        <v>0</v>
      </c>
      <c r="I50" s="160">
        <f t="shared" si="7"/>
        <v>0</v>
      </c>
      <c r="J50" s="160"/>
      <c r="K50" s="330"/>
      <c r="L50" s="162">
        <f t="shared" si="0"/>
        <v>0</v>
      </c>
      <c r="M50" s="330"/>
      <c r="N50" s="162">
        <f t="shared" si="1"/>
        <v>0</v>
      </c>
      <c r="O50" s="162">
        <f t="shared" si="2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0</v>
      </c>
      <c r="E51" s="164">
        <f t="shared" si="3"/>
        <v>0</v>
      </c>
      <c r="F51" s="163">
        <f t="shared" si="4"/>
        <v>0</v>
      </c>
      <c r="G51" s="165">
        <f t="shared" si="5"/>
        <v>0</v>
      </c>
      <c r="H51" s="147">
        <f t="shared" si="6"/>
        <v>0</v>
      </c>
      <c r="I51" s="160">
        <f t="shared" si="7"/>
        <v>0</v>
      </c>
      <c r="J51" s="160"/>
      <c r="K51" s="330"/>
      <c r="L51" s="162">
        <f t="shared" si="0"/>
        <v>0</v>
      </c>
      <c r="M51" s="330"/>
      <c r="N51" s="162">
        <f t="shared" si="1"/>
        <v>0</v>
      </c>
      <c r="O51" s="162">
        <f t="shared" si="2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0</v>
      </c>
      <c r="E52" s="164">
        <f t="shared" si="3"/>
        <v>0</v>
      </c>
      <c r="F52" s="163">
        <f t="shared" si="4"/>
        <v>0</v>
      </c>
      <c r="G52" s="165">
        <f t="shared" si="5"/>
        <v>0</v>
      </c>
      <c r="H52" s="147">
        <f t="shared" si="6"/>
        <v>0</v>
      </c>
      <c r="I52" s="160">
        <f t="shared" si="7"/>
        <v>0</v>
      </c>
      <c r="J52" s="160"/>
      <c r="K52" s="330"/>
      <c r="L52" s="162">
        <f t="shared" si="0"/>
        <v>0</v>
      </c>
      <c r="M52" s="330"/>
      <c r="N52" s="162">
        <f t="shared" si="1"/>
        <v>0</v>
      </c>
      <c r="O52" s="162">
        <f t="shared" si="2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0</v>
      </c>
      <c r="E53" s="164">
        <f t="shared" si="3"/>
        <v>0</v>
      </c>
      <c r="F53" s="163">
        <f t="shared" si="4"/>
        <v>0</v>
      </c>
      <c r="G53" s="165">
        <f t="shared" si="5"/>
        <v>0</v>
      </c>
      <c r="H53" s="147">
        <f t="shared" si="6"/>
        <v>0</v>
      </c>
      <c r="I53" s="160">
        <f t="shared" si="7"/>
        <v>0</v>
      </c>
      <c r="J53" s="160"/>
      <c r="K53" s="330"/>
      <c r="L53" s="162">
        <f t="shared" si="0"/>
        <v>0</v>
      </c>
      <c r="M53" s="330"/>
      <c r="N53" s="162">
        <f t="shared" si="1"/>
        <v>0</v>
      </c>
      <c r="O53" s="162">
        <f t="shared" si="2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0</v>
      </c>
      <c r="E54" s="164">
        <f t="shared" si="3"/>
        <v>0</v>
      </c>
      <c r="F54" s="163">
        <f t="shared" si="4"/>
        <v>0</v>
      </c>
      <c r="G54" s="165">
        <f t="shared" si="5"/>
        <v>0</v>
      </c>
      <c r="H54" s="147">
        <f t="shared" si="6"/>
        <v>0</v>
      </c>
      <c r="I54" s="160">
        <f t="shared" si="7"/>
        <v>0</v>
      </c>
      <c r="J54" s="160"/>
      <c r="K54" s="330"/>
      <c r="L54" s="162">
        <f t="shared" si="0"/>
        <v>0</v>
      </c>
      <c r="M54" s="330"/>
      <c r="N54" s="162">
        <f t="shared" si="1"/>
        <v>0</v>
      </c>
      <c r="O54" s="162">
        <f t="shared" si="2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0</v>
      </c>
      <c r="E55" s="164">
        <f t="shared" si="3"/>
        <v>0</v>
      </c>
      <c r="F55" s="163">
        <f t="shared" si="4"/>
        <v>0</v>
      </c>
      <c r="G55" s="165">
        <f t="shared" si="5"/>
        <v>0</v>
      </c>
      <c r="H55" s="147">
        <f t="shared" si="6"/>
        <v>0</v>
      </c>
      <c r="I55" s="160">
        <f t="shared" si="7"/>
        <v>0</v>
      </c>
      <c r="J55" s="160"/>
      <c r="K55" s="330"/>
      <c r="L55" s="162">
        <f t="shared" si="0"/>
        <v>0</v>
      </c>
      <c r="M55" s="330"/>
      <c r="N55" s="162">
        <f t="shared" si="1"/>
        <v>0</v>
      </c>
      <c r="O55" s="162">
        <f t="shared" si="2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0</v>
      </c>
      <c r="E56" s="164">
        <f t="shared" si="3"/>
        <v>0</v>
      </c>
      <c r="F56" s="163">
        <f t="shared" si="4"/>
        <v>0</v>
      </c>
      <c r="G56" s="165">
        <f t="shared" si="5"/>
        <v>0</v>
      </c>
      <c r="H56" s="147">
        <f t="shared" si="6"/>
        <v>0</v>
      </c>
      <c r="I56" s="160">
        <f t="shared" si="7"/>
        <v>0</v>
      </c>
      <c r="J56" s="160"/>
      <c r="K56" s="330"/>
      <c r="L56" s="162">
        <f t="shared" si="0"/>
        <v>0</v>
      </c>
      <c r="M56" s="330"/>
      <c r="N56" s="162">
        <f t="shared" si="1"/>
        <v>0</v>
      </c>
      <c r="O56" s="162">
        <f t="shared" si="2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0</v>
      </c>
      <c r="E57" s="164">
        <f t="shared" si="3"/>
        <v>0</v>
      </c>
      <c r="F57" s="163">
        <f t="shared" si="4"/>
        <v>0</v>
      </c>
      <c r="G57" s="165">
        <f t="shared" si="5"/>
        <v>0</v>
      </c>
      <c r="H57" s="147">
        <f t="shared" si="6"/>
        <v>0</v>
      </c>
      <c r="I57" s="160">
        <f t="shared" si="7"/>
        <v>0</v>
      </c>
      <c r="J57" s="160"/>
      <c r="K57" s="330"/>
      <c r="L57" s="162">
        <f t="shared" si="0"/>
        <v>0</v>
      </c>
      <c r="M57" s="330"/>
      <c r="N57" s="162">
        <f t="shared" si="1"/>
        <v>0</v>
      </c>
      <c r="O57" s="162">
        <f t="shared" si="2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3"/>
        <v>0</v>
      </c>
      <c r="F58" s="163">
        <f t="shared" si="4"/>
        <v>0</v>
      </c>
      <c r="G58" s="165">
        <f t="shared" si="5"/>
        <v>0</v>
      </c>
      <c r="H58" s="147">
        <f t="shared" si="6"/>
        <v>0</v>
      </c>
      <c r="I58" s="160">
        <f t="shared" si="7"/>
        <v>0</v>
      </c>
      <c r="J58" s="160"/>
      <c r="K58" s="330"/>
      <c r="L58" s="162">
        <f t="shared" si="0"/>
        <v>0</v>
      </c>
      <c r="M58" s="330"/>
      <c r="N58" s="162">
        <f t="shared" si="1"/>
        <v>0</v>
      </c>
      <c r="O58" s="162">
        <f t="shared" si="2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3"/>
        <v>0</v>
      </c>
      <c r="F59" s="163">
        <f t="shared" si="4"/>
        <v>0</v>
      </c>
      <c r="G59" s="165">
        <f t="shared" si="5"/>
        <v>0</v>
      </c>
      <c r="H59" s="147">
        <f t="shared" si="6"/>
        <v>0</v>
      </c>
      <c r="I59" s="160">
        <f t="shared" si="7"/>
        <v>0</v>
      </c>
      <c r="J59" s="160"/>
      <c r="K59" s="330"/>
      <c r="L59" s="162">
        <f t="shared" si="0"/>
        <v>0</v>
      </c>
      <c r="M59" s="330"/>
      <c r="N59" s="162">
        <f t="shared" si="1"/>
        <v>0</v>
      </c>
      <c r="O59" s="162">
        <f t="shared" si="2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3"/>
        <v>0</v>
      </c>
      <c r="F60" s="163">
        <f t="shared" si="4"/>
        <v>0</v>
      </c>
      <c r="G60" s="165">
        <f t="shared" si="5"/>
        <v>0</v>
      </c>
      <c r="H60" s="147">
        <f t="shared" si="6"/>
        <v>0</v>
      </c>
      <c r="I60" s="160">
        <f t="shared" si="7"/>
        <v>0</v>
      </c>
      <c r="J60" s="160"/>
      <c r="K60" s="330"/>
      <c r="L60" s="162">
        <f t="shared" si="0"/>
        <v>0</v>
      </c>
      <c r="M60" s="330"/>
      <c r="N60" s="162">
        <f t="shared" si="1"/>
        <v>0</v>
      </c>
      <c r="O60" s="162">
        <f t="shared" si="2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3"/>
        <v>0</v>
      </c>
      <c r="F61" s="163">
        <f t="shared" si="4"/>
        <v>0</v>
      </c>
      <c r="G61" s="165">
        <f t="shared" si="5"/>
        <v>0</v>
      </c>
      <c r="H61" s="147">
        <f t="shared" si="6"/>
        <v>0</v>
      </c>
      <c r="I61" s="160">
        <f t="shared" si="7"/>
        <v>0</v>
      </c>
      <c r="J61" s="160"/>
      <c r="K61" s="330"/>
      <c r="L61" s="162">
        <f t="shared" si="0"/>
        <v>0</v>
      </c>
      <c r="M61" s="330"/>
      <c r="N61" s="162">
        <f t="shared" si="1"/>
        <v>0</v>
      </c>
      <c r="O61" s="162">
        <f t="shared" si="2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3"/>
        <v>0</v>
      </c>
      <c r="F62" s="163">
        <f t="shared" si="4"/>
        <v>0</v>
      </c>
      <c r="G62" s="165">
        <f t="shared" si="5"/>
        <v>0</v>
      </c>
      <c r="H62" s="147">
        <f t="shared" si="6"/>
        <v>0</v>
      </c>
      <c r="I62" s="160">
        <f t="shared" si="7"/>
        <v>0</v>
      </c>
      <c r="J62" s="160"/>
      <c r="K62" s="330"/>
      <c r="L62" s="162">
        <f t="shared" si="0"/>
        <v>0</v>
      </c>
      <c r="M62" s="330"/>
      <c r="N62" s="162">
        <f t="shared" si="1"/>
        <v>0</v>
      </c>
      <c r="O62" s="162">
        <f t="shared" si="2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0"/>
      <c r="L63" s="162">
        <f t="shared" si="0"/>
        <v>0</v>
      </c>
      <c r="M63" s="330"/>
      <c r="N63" s="162">
        <f t="shared" si="1"/>
        <v>0</v>
      </c>
      <c r="O63" s="162">
        <f t="shared" si="2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0"/>
      <c r="L64" s="162">
        <f t="shared" si="0"/>
        <v>0</v>
      </c>
      <c r="M64" s="330"/>
      <c r="N64" s="162">
        <f t="shared" si="1"/>
        <v>0</v>
      </c>
      <c r="O64" s="162">
        <f t="shared" si="2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0"/>
      <c r="L65" s="162">
        <f t="shared" si="0"/>
        <v>0</v>
      </c>
      <c r="M65" s="330"/>
      <c r="N65" s="162">
        <f t="shared" si="1"/>
        <v>0</v>
      </c>
      <c r="O65" s="162">
        <f t="shared" si="2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0"/>
      <c r="L66" s="162">
        <f t="shared" si="0"/>
        <v>0</v>
      </c>
      <c r="M66" s="330"/>
      <c r="N66" s="162">
        <f t="shared" si="1"/>
        <v>0</v>
      </c>
      <c r="O66" s="162">
        <f t="shared" si="2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0"/>
      <c r="L67" s="162">
        <f t="shared" si="0"/>
        <v>0</v>
      </c>
      <c r="M67" s="330"/>
      <c r="N67" s="162">
        <f t="shared" si="1"/>
        <v>0</v>
      </c>
      <c r="O67" s="162">
        <f t="shared" si="2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0"/>
      <c r="L68" s="162">
        <f t="shared" si="0"/>
        <v>0</v>
      </c>
      <c r="M68" s="330"/>
      <c r="N68" s="162">
        <f t="shared" si="1"/>
        <v>0</v>
      </c>
      <c r="O68" s="162">
        <f t="shared" si="2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0"/>
      <c r="L69" s="162">
        <f t="shared" si="0"/>
        <v>0</v>
      </c>
      <c r="M69" s="330"/>
      <c r="N69" s="162">
        <f t="shared" si="1"/>
        <v>0</v>
      </c>
      <c r="O69" s="162">
        <f t="shared" si="2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0"/>
      <c r="L70" s="162">
        <f t="shared" si="0"/>
        <v>0</v>
      </c>
      <c r="M70" s="330"/>
      <c r="N70" s="162">
        <f t="shared" si="1"/>
        <v>0</v>
      </c>
      <c r="O70" s="162">
        <f t="shared" si="2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0"/>
      <c r="L71" s="162">
        <f t="shared" si="0"/>
        <v>0</v>
      </c>
      <c r="M71" s="330"/>
      <c r="N71" s="162">
        <f t="shared" si="1"/>
        <v>0</v>
      </c>
      <c r="O71" s="162">
        <f t="shared" si="2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36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2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1"/>
      <c r="L72" s="173">
        <f t="shared" si="0"/>
        <v>0</v>
      </c>
      <c r="M72" s="331"/>
      <c r="N72" s="173">
        <f t="shared" si="1"/>
        <v>0</v>
      </c>
      <c r="O72" s="173">
        <f t="shared" si="2"/>
        <v>0</v>
      </c>
      <c r="P72" s="4"/>
    </row>
    <row r="73" spans="2:16">
      <c r="C73" s="158" t="s">
        <v>77</v>
      </c>
      <c r="D73" s="115"/>
      <c r="E73" s="115">
        <f>SUM(E17:E72)</f>
        <v>0</v>
      </c>
      <c r="F73" s="115"/>
      <c r="G73" s="115">
        <f>SUM(G17:G72)</f>
        <v>0</v>
      </c>
      <c r="H73" s="115">
        <f>SUM(H17:H72)</f>
        <v>0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26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inset project name here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f>IF(D11=I10,0,D10)</f>
        <v>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2015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4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2015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>+J$94*G99+E99</f>
        <v>0</v>
      </c>
      <c r="I99" s="218">
        <f>+J$95*G99+E99</f>
        <v>0</v>
      </c>
      <c r="J99" s="162">
        <f>+I99-H99</f>
        <v>0</v>
      </c>
      <c r="K99" s="162"/>
      <c r="L99" s="329"/>
      <c r="M99" s="161">
        <f t="shared" ref="M99:M130" si="9">IF(L99&lt;&gt;0,+H99-L99,0)</f>
        <v>0</v>
      </c>
      <c r="N99" s="329"/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/>
      </c>
      <c r="C100" s="157">
        <f>IF(D93="","-",+C99+1)</f>
        <v>2016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28">
        <f t="shared" ref="H100:H154" si="12">+J$94*G100+E100</f>
        <v>0</v>
      </c>
      <c r="I100" s="339">
        <f t="shared" ref="I100:I154" si="13">+J$95*G100+E100</f>
        <v>0</v>
      </c>
      <c r="J100" s="162">
        <f t="shared" ref="J100:J130" si="14">+I100-H100</f>
        <v>0</v>
      </c>
      <c r="K100" s="162"/>
      <c r="L100" s="330"/>
      <c r="M100" s="162">
        <f t="shared" si="9"/>
        <v>0</v>
      </c>
      <c r="N100" s="330"/>
      <c r="O100" s="162">
        <f t="shared" si="10"/>
        <v>0</v>
      </c>
      <c r="P100" s="162">
        <f t="shared" si="11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2017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28">
        <f t="shared" si="12"/>
        <v>0</v>
      </c>
      <c r="I101" s="339">
        <f t="shared" si="13"/>
        <v>0</v>
      </c>
      <c r="J101" s="162">
        <f t="shared" si="14"/>
        <v>0</v>
      </c>
      <c r="K101" s="162"/>
      <c r="L101" s="330"/>
      <c r="M101" s="162">
        <f t="shared" si="9"/>
        <v>0</v>
      </c>
      <c r="N101" s="330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5"/>
        <v/>
      </c>
      <c r="C102" s="157">
        <f>IF(D93="","-",+C101+1)</f>
        <v>2018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28">
        <f t="shared" si="12"/>
        <v>0</v>
      </c>
      <c r="I102" s="339">
        <f t="shared" si="13"/>
        <v>0</v>
      </c>
      <c r="J102" s="162">
        <f t="shared" si="14"/>
        <v>0</v>
      </c>
      <c r="K102" s="162"/>
      <c r="L102" s="330"/>
      <c r="M102" s="162">
        <f t="shared" si="9"/>
        <v>0</v>
      </c>
      <c r="N102" s="330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5"/>
        <v/>
      </c>
      <c r="C103" s="157">
        <f>IF(D93="","-",+C102+1)</f>
        <v>2019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28">
        <f t="shared" si="12"/>
        <v>0</v>
      </c>
      <c r="I103" s="339">
        <f t="shared" si="13"/>
        <v>0</v>
      </c>
      <c r="J103" s="162">
        <f t="shared" si="14"/>
        <v>0</v>
      </c>
      <c r="K103" s="162"/>
      <c r="L103" s="330"/>
      <c r="M103" s="162">
        <f t="shared" si="9"/>
        <v>0</v>
      </c>
      <c r="N103" s="330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5"/>
        <v/>
      </c>
      <c r="C104" s="157">
        <f>IF(D93="","-",+C103+1)</f>
        <v>2020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28">
        <f t="shared" si="12"/>
        <v>0</v>
      </c>
      <c r="I104" s="339">
        <f t="shared" si="13"/>
        <v>0</v>
      </c>
      <c r="J104" s="162">
        <f t="shared" si="14"/>
        <v>0</v>
      </c>
      <c r="K104" s="162"/>
      <c r="L104" s="330"/>
      <c r="M104" s="162">
        <f t="shared" si="9"/>
        <v>0</v>
      </c>
      <c r="N104" s="330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5"/>
        <v/>
      </c>
      <c r="C105" s="157">
        <f>IF(D93="","-",+C104+1)</f>
        <v>2021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28">
        <f t="shared" si="12"/>
        <v>0</v>
      </c>
      <c r="I105" s="339">
        <f t="shared" si="13"/>
        <v>0</v>
      </c>
      <c r="J105" s="162">
        <f t="shared" si="14"/>
        <v>0</v>
      </c>
      <c r="K105" s="162"/>
      <c r="L105" s="330"/>
      <c r="M105" s="162">
        <f t="shared" si="9"/>
        <v>0</v>
      </c>
      <c r="N105" s="330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5"/>
        <v/>
      </c>
      <c r="C106" s="157">
        <f>IF(D93="","-",+C105+1)</f>
        <v>2022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28">
        <f t="shared" si="12"/>
        <v>0</v>
      </c>
      <c r="I106" s="339">
        <f t="shared" si="13"/>
        <v>0</v>
      </c>
      <c r="J106" s="162">
        <f t="shared" si="14"/>
        <v>0</v>
      </c>
      <c r="K106" s="162"/>
      <c r="L106" s="330"/>
      <c r="M106" s="162">
        <f t="shared" si="9"/>
        <v>0</v>
      </c>
      <c r="N106" s="330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5"/>
        <v/>
      </c>
      <c r="C107" s="157">
        <f>IF(D93="","-",+C106+1)</f>
        <v>2023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28">
        <f t="shared" si="12"/>
        <v>0</v>
      </c>
      <c r="I107" s="339">
        <f t="shared" si="13"/>
        <v>0</v>
      </c>
      <c r="J107" s="162">
        <f t="shared" si="14"/>
        <v>0</v>
      </c>
      <c r="K107" s="162"/>
      <c r="L107" s="330"/>
      <c r="M107" s="162">
        <f t="shared" si="9"/>
        <v>0</v>
      </c>
      <c r="N107" s="330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5"/>
        <v/>
      </c>
      <c r="C108" s="157">
        <f>IF(D93="","-",+C107+1)</f>
        <v>2024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28">
        <f t="shared" si="12"/>
        <v>0</v>
      </c>
      <c r="I108" s="339">
        <f t="shared" si="13"/>
        <v>0</v>
      </c>
      <c r="J108" s="162">
        <f t="shared" si="14"/>
        <v>0</v>
      </c>
      <c r="K108" s="162"/>
      <c r="L108" s="330"/>
      <c r="M108" s="162">
        <f t="shared" si="9"/>
        <v>0</v>
      </c>
      <c r="N108" s="330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5"/>
        <v/>
      </c>
      <c r="C109" s="157">
        <f>IF(D93="","-",+C108+1)</f>
        <v>2025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28">
        <f t="shared" si="12"/>
        <v>0</v>
      </c>
      <c r="I109" s="339">
        <f t="shared" si="13"/>
        <v>0</v>
      </c>
      <c r="J109" s="162">
        <f t="shared" si="14"/>
        <v>0</v>
      </c>
      <c r="K109" s="162"/>
      <c r="L109" s="330"/>
      <c r="M109" s="162">
        <f t="shared" si="9"/>
        <v>0</v>
      </c>
      <c r="N109" s="330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5"/>
        <v/>
      </c>
      <c r="C110" s="157">
        <f>IF(D93="","-",+C109+1)</f>
        <v>2026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28">
        <f t="shared" si="12"/>
        <v>0</v>
      </c>
      <c r="I110" s="339">
        <f t="shared" si="13"/>
        <v>0</v>
      </c>
      <c r="J110" s="162">
        <f t="shared" si="14"/>
        <v>0</v>
      </c>
      <c r="K110" s="162"/>
      <c r="L110" s="330"/>
      <c r="M110" s="162">
        <f t="shared" si="9"/>
        <v>0</v>
      </c>
      <c r="N110" s="330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5"/>
        <v/>
      </c>
      <c r="C111" s="157">
        <f>IF(D93="","-",+C110+1)</f>
        <v>2027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28">
        <f t="shared" si="12"/>
        <v>0</v>
      </c>
      <c r="I111" s="339">
        <f t="shared" si="13"/>
        <v>0</v>
      </c>
      <c r="J111" s="162">
        <f t="shared" si="14"/>
        <v>0</v>
      </c>
      <c r="K111" s="162"/>
      <c r="L111" s="330"/>
      <c r="M111" s="162">
        <f t="shared" si="9"/>
        <v>0</v>
      </c>
      <c r="N111" s="330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5"/>
        <v/>
      </c>
      <c r="C112" s="157">
        <f>IF(D93="","-",+C111+1)</f>
        <v>2028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28">
        <f t="shared" si="12"/>
        <v>0</v>
      </c>
      <c r="I112" s="339">
        <f t="shared" si="13"/>
        <v>0</v>
      </c>
      <c r="J112" s="162">
        <f t="shared" si="14"/>
        <v>0</v>
      </c>
      <c r="K112" s="162"/>
      <c r="L112" s="330"/>
      <c r="M112" s="162">
        <f t="shared" si="9"/>
        <v>0</v>
      </c>
      <c r="N112" s="330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5"/>
        <v/>
      </c>
      <c r="C113" s="157">
        <f>IF(D93="","-",+C112+1)</f>
        <v>2029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28">
        <f t="shared" si="12"/>
        <v>0</v>
      </c>
      <c r="I113" s="339">
        <f t="shared" si="13"/>
        <v>0</v>
      </c>
      <c r="J113" s="162">
        <f t="shared" si="14"/>
        <v>0</v>
      </c>
      <c r="K113" s="162"/>
      <c r="L113" s="330"/>
      <c r="M113" s="162">
        <f t="shared" si="9"/>
        <v>0</v>
      </c>
      <c r="N113" s="330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5"/>
        <v/>
      </c>
      <c r="C114" s="157">
        <f>IF(D93="","-",+C113+1)</f>
        <v>2030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28">
        <f t="shared" si="12"/>
        <v>0</v>
      </c>
      <c r="I114" s="339">
        <f t="shared" si="13"/>
        <v>0</v>
      </c>
      <c r="J114" s="162">
        <f t="shared" si="14"/>
        <v>0</v>
      </c>
      <c r="K114" s="162"/>
      <c r="L114" s="330"/>
      <c r="M114" s="162">
        <f t="shared" si="9"/>
        <v>0</v>
      </c>
      <c r="N114" s="330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5"/>
        <v/>
      </c>
      <c r="C115" s="157">
        <f>IF(D93="","-",+C114+1)</f>
        <v>2031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28">
        <f t="shared" si="12"/>
        <v>0</v>
      </c>
      <c r="I115" s="339">
        <f t="shared" si="13"/>
        <v>0</v>
      </c>
      <c r="J115" s="162">
        <f t="shared" si="14"/>
        <v>0</v>
      </c>
      <c r="K115" s="162"/>
      <c r="L115" s="330"/>
      <c r="M115" s="162">
        <f t="shared" si="9"/>
        <v>0</v>
      </c>
      <c r="N115" s="330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5"/>
        <v/>
      </c>
      <c r="C116" s="157">
        <f>IF(D93="","-",+C115+1)</f>
        <v>2032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28">
        <f t="shared" si="12"/>
        <v>0</v>
      </c>
      <c r="I116" s="339">
        <f t="shared" si="13"/>
        <v>0</v>
      </c>
      <c r="J116" s="162">
        <f t="shared" si="14"/>
        <v>0</v>
      </c>
      <c r="K116" s="162"/>
      <c r="L116" s="330"/>
      <c r="M116" s="162">
        <f t="shared" si="9"/>
        <v>0</v>
      </c>
      <c r="N116" s="330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5"/>
        <v/>
      </c>
      <c r="C117" s="157">
        <f>IF(D93="","-",+C116+1)</f>
        <v>2033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28">
        <f t="shared" si="12"/>
        <v>0</v>
      </c>
      <c r="I117" s="339">
        <f t="shared" si="13"/>
        <v>0</v>
      </c>
      <c r="J117" s="162">
        <f t="shared" si="14"/>
        <v>0</v>
      </c>
      <c r="K117" s="162"/>
      <c r="L117" s="330"/>
      <c r="M117" s="162">
        <f t="shared" si="9"/>
        <v>0</v>
      </c>
      <c r="N117" s="330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5"/>
        <v/>
      </c>
      <c r="C118" s="157">
        <f>IF(D93="","-",+C117+1)</f>
        <v>2034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28">
        <f t="shared" si="12"/>
        <v>0</v>
      </c>
      <c r="I118" s="339">
        <f t="shared" si="13"/>
        <v>0</v>
      </c>
      <c r="J118" s="162">
        <f t="shared" si="14"/>
        <v>0</v>
      </c>
      <c r="K118" s="162"/>
      <c r="L118" s="330"/>
      <c r="M118" s="162">
        <f t="shared" si="9"/>
        <v>0</v>
      </c>
      <c r="N118" s="330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5"/>
        <v/>
      </c>
      <c r="C119" s="157">
        <f>IF(D93="","-",+C118+1)</f>
        <v>2035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28">
        <f t="shared" si="12"/>
        <v>0</v>
      </c>
      <c r="I119" s="339">
        <f t="shared" si="13"/>
        <v>0</v>
      </c>
      <c r="J119" s="162">
        <f t="shared" si="14"/>
        <v>0</v>
      </c>
      <c r="K119" s="162"/>
      <c r="L119" s="330"/>
      <c r="M119" s="162">
        <f t="shared" si="9"/>
        <v>0</v>
      </c>
      <c r="N119" s="330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5"/>
        <v/>
      </c>
      <c r="C120" s="157">
        <f>IF(D93="","-",+C119+1)</f>
        <v>2036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28">
        <f t="shared" si="12"/>
        <v>0</v>
      </c>
      <c r="I120" s="339">
        <f t="shared" si="13"/>
        <v>0</v>
      </c>
      <c r="J120" s="162">
        <f t="shared" si="14"/>
        <v>0</v>
      </c>
      <c r="K120" s="162"/>
      <c r="L120" s="330"/>
      <c r="M120" s="162">
        <f t="shared" si="9"/>
        <v>0</v>
      </c>
      <c r="N120" s="330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5"/>
        <v/>
      </c>
      <c r="C121" s="157">
        <f>IF(D93="","-",+C120+1)</f>
        <v>2037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28">
        <f t="shared" si="12"/>
        <v>0</v>
      </c>
      <c r="I121" s="339">
        <f t="shared" si="13"/>
        <v>0</v>
      </c>
      <c r="J121" s="162">
        <f t="shared" si="14"/>
        <v>0</v>
      </c>
      <c r="K121" s="162"/>
      <c r="L121" s="330"/>
      <c r="M121" s="162">
        <f t="shared" si="9"/>
        <v>0</v>
      </c>
      <c r="N121" s="330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5"/>
        <v/>
      </c>
      <c r="C122" s="157">
        <f>IF(D93="","-",+C121+1)</f>
        <v>2038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28">
        <f t="shared" si="12"/>
        <v>0</v>
      </c>
      <c r="I122" s="339">
        <f t="shared" si="13"/>
        <v>0</v>
      </c>
      <c r="J122" s="162">
        <f t="shared" si="14"/>
        <v>0</v>
      </c>
      <c r="K122" s="162"/>
      <c r="L122" s="330"/>
      <c r="M122" s="162">
        <f t="shared" si="9"/>
        <v>0</v>
      </c>
      <c r="N122" s="330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5"/>
        <v/>
      </c>
      <c r="C123" s="157">
        <f>IF(D93="","-",+C122+1)</f>
        <v>2039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28">
        <f t="shared" si="12"/>
        <v>0</v>
      </c>
      <c r="I123" s="339">
        <f t="shared" si="13"/>
        <v>0</v>
      </c>
      <c r="J123" s="162">
        <f t="shared" si="14"/>
        <v>0</v>
      </c>
      <c r="K123" s="162"/>
      <c r="L123" s="330"/>
      <c r="M123" s="162">
        <f t="shared" si="9"/>
        <v>0</v>
      </c>
      <c r="N123" s="330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5"/>
        <v/>
      </c>
      <c r="C124" s="157">
        <f>IF(D93="","-",+C123+1)</f>
        <v>2040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28">
        <f t="shared" si="12"/>
        <v>0</v>
      </c>
      <c r="I124" s="339">
        <f t="shared" si="13"/>
        <v>0</v>
      </c>
      <c r="J124" s="162">
        <f t="shared" si="14"/>
        <v>0</v>
      </c>
      <c r="K124" s="162"/>
      <c r="L124" s="330"/>
      <c r="M124" s="162">
        <f t="shared" si="9"/>
        <v>0</v>
      </c>
      <c r="N124" s="330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5"/>
        <v/>
      </c>
      <c r="C125" s="157">
        <f>IF(D93="","-",+C124+1)</f>
        <v>2041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28">
        <f t="shared" si="12"/>
        <v>0</v>
      </c>
      <c r="I125" s="339">
        <f t="shared" si="13"/>
        <v>0</v>
      </c>
      <c r="J125" s="162">
        <f t="shared" si="14"/>
        <v>0</v>
      </c>
      <c r="K125" s="162"/>
      <c r="L125" s="330"/>
      <c r="M125" s="162">
        <f t="shared" si="9"/>
        <v>0</v>
      </c>
      <c r="N125" s="330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5"/>
        <v/>
      </c>
      <c r="C126" s="157">
        <f>IF(D93="","-",+C125+1)</f>
        <v>2042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28">
        <f t="shared" si="12"/>
        <v>0</v>
      </c>
      <c r="I126" s="339">
        <f t="shared" si="13"/>
        <v>0</v>
      </c>
      <c r="J126" s="162">
        <f t="shared" si="14"/>
        <v>0</v>
      </c>
      <c r="K126" s="162"/>
      <c r="L126" s="330"/>
      <c r="M126" s="162">
        <f t="shared" si="9"/>
        <v>0</v>
      </c>
      <c r="N126" s="330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5"/>
        <v/>
      </c>
      <c r="C127" s="157">
        <f>IF(D93="","-",+C126+1)</f>
        <v>2043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28">
        <f t="shared" si="12"/>
        <v>0</v>
      </c>
      <c r="I127" s="339">
        <f t="shared" si="13"/>
        <v>0</v>
      </c>
      <c r="J127" s="162">
        <f t="shared" si="14"/>
        <v>0</v>
      </c>
      <c r="K127" s="162"/>
      <c r="L127" s="330"/>
      <c r="M127" s="162">
        <f t="shared" si="9"/>
        <v>0</v>
      </c>
      <c r="N127" s="330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5"/>
        <v/>
      </c>
      <c r="C128" s="157">
        <f>IF(D93="","-",+C127+1)</f>
        <v>2044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28">
        <f t="shared" si="12"/>
        <v>0</v>
      </c>
      <c r="I128" s="339">
        <f t="shared" si="13"/>
        <v>0</v>
      </c>
      <c r="J128" s="162">
        <f t="shared" si="14"/>
        <v>0</v>
      </c>
      <c r="K128" s="162"/>
      <c r="L128" s="330"/>
      <c r="M128" s="162">
        <f t="shared" si="9"/>
        <v>0</v>
      </c>
      <c r="N128" s="330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5"/>
        <v/>
      </c>
      <c r="C129" s="157">
        <f>IF(D93="","-",+C128+1)</f>
        <v>2045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28">
        <f t="shared" si="12"/>
        <v>0</v>
      </c>
      <c r="I129" s="339">
        <f t="shared" si="13"/>
        <v>0</v>
      </c>
      <c r="J129" s="162">
        <f t="shared" si="14"/>
        <v>0</v>
      </c>
      <c r="K129" s="162"/>
      <c r="L129" s="330"/>
      <c r="M129" s="162">
        <f t="shared" si="9"/>
        <v>0</v>
      </c>
      <c r="N129" s="330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5"/>
        <v/>
      </c>
      <c r="C130" s="157">
        <f>IF(D93="","-",+C129+1)</f>
        <v>2046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28">
        <f t="shared" si="12"/>
        <v>0</v>
      </c>
      <c r="I130" s="339">
        <f t="shared" si="13"/>
        <v>0</v>
      </c>
      <c r="J130" s="162">
        <f t="shared" si="14"/>
        <v>0</v>
      </c>
      <c r="K130" s="162"/>
      <c r="L130" s="330"/>
      <c r="M130" s="162">
        <f t="shared" si="9"/>
        <v>0</v>
      </c>
      <c r="N130" s="330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5"/>
        <v/>
      </c>
      <c r="C131" s="157">
        <f>IF(D93="","-",+C130+1)</f>
        <v>2047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28">
        <f t="shared" si="12"/>
        <v>0</v>
      </c>
      <c r="I131" s="339">
        <f t="shared" si="13"/>
        <v>0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2048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28">
        <f t="shared" si="12"/>
        <v>0</v>
      </c>
      <c r="I132" s="339">
        <f t="shared" si="13"/>
        <v>0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2049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28">
        <f t="shared" si="12"/>
        <v>0</v>
      </c>
      <c r="I133" s="339">
        <f t="shared" si="13"/>
        <v>0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2050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28">
        <f t="shared" si="12"/>
        <v>0</v>
      </c>
      <c r="I134" s="339">
        <f t="shared" si="13"/>
        <v>0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2051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28">
        <f t="shared" si="12"/>
        <v>0</v>
      </c>
      <c r="I135" s="339">
        <f t="shared" si="13"/>
        <v>0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2052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28">
        <f t="shared" si="12"/>
        <v>0</v>
      </c>
      <c r="I136" s="339">
        <f t="shared" si="13"/>
        <v>0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2053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28">
        <f t="shared" si="12"/>
        <v>0</v>
      </c>
      <c r="I137" s="339">
        <f t="shared" si="13"/>
        <v>0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2054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28">
        <f t="shared" si="12"/>
        <v>0</v>
      </c>
      <c r="I138" s="339">
        <f t="shared" si="13"/>
        <v>0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2055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28">
        <f t="shared" si="12"/>
        <v>0</v>
      </c>
      <c r="I139" s="339">
        <f t="shared" si="13"/>
        <v>0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2056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28">
        <f t="shared" si="12"/>
        <v>0</v>
      </c>
      <c r="I140" s="339">
        <f t="shared" si="13"/>
        <v>0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2057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28">
        <f t="shared" si="12"/>
        <v>0</v>
      </c>
      <c r="I141" s="339">
        <f t="shared" si="13"/>
        <v>0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2058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28">
        <f t="shared" si="12"/>
        <v>0</v>
      </c>
      <c r="I142" s="339">
        <f t="shared" si="13"/>
        <v>0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2059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2"/>
        <v>0</v>
      </c>
      <c r="I143" s="339">
        <f t="shared" si="13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2"/>
        <v>0</v>
      </c>
      <c r="I144" s="339">
        <f t="shared" si="13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2"/>
        <v>0</v>
      </c>
      <c r="I145" s="339">
        <f t="shared" si="13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2"/>
        <v>0</v>
      </c>
      <c r="I146" s="339">
        <f t="shared" si="13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2"/>
        <v>0</v>
      </c>
      <c r="I147" s="339">
        <f t="shared" si="13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2"/>
        <v>0</v>
      </c>
      <c r="I148" s="339">
        <f t="shared" si="13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2"/>
        <v>0</v>
      </c>
      <c r="I149" s="339">
        <f t="shared" si="13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2"/>
        <v>0</v>
      </c>
      <c r="I150" s="339">
        <f t="shared" si="13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2"/>
        <v>0</v>
      </c>
      <c r="I151" s="339">
        <f t="shared" si="13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2"/>
        <v>0</v>
      </c>
      <c r="I152" s="339">
        <f t="shared" si="13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2"/>
        <v>0</v>
      </c>
      <c r="I153" s="339">
        <f t="shared" si="13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2070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2"/>
        <v>0</v>
      </c>
      <c r="I154" s="341">
        <f t="shared" si="13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topLeftCell="B97" zoomScale="70" zoomScaleNormal="70" zoomScaleSheetLayoutView="100" workbookViewId="0">
      <selection activeCell="D125" sqref="D125"/>
    </sheetView>
  </sheetViews>
  <sheetFormatPr defaultRowHeight="12.75" customHeight="1"/>
  <cols>
    <col min="1" max="1" width="4.7109375" customWidth="1"/>
    <col min="2" max="2" width="6.7109375" customWidth="1"/>
    <col min="3" max="3" width="20.7109375" customWidth="1"/>
    <col min="4" max="9" width="17.7109375" customWidth="1"/>
    <col min="10" max="10" width="17.7109375" bestFit="1" customWidth="1"/>
    <col min="11" max="11" width="2.140625" customWidth="1"/>
    <col min="12" max="15" width="17.7109375" customWidth="1"/>
    <col min="16" max="16" width="19.5703125" customWidth="1"/>
    <col min="17" max="17" width="2.140625" customWidth="1"/>
    <col min="18" max="18" width="16.42578125" customWidth="1"/>
    <col min="19" max="19" width="52.42578125" customWidth="1"/>
  </cols>
  <sheetData>
    <row r="1" spans="1:19" ht="18">
      <c r="A1" s="485" t="str">
        <f>PSO.WS.F.BPU.ATRR.Projected!A1</f>
        <v xml:space="preserve">AEP West SPP Member Companies 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Q1" s="7"/>
      <c r="R1" s="7"/>
    </row>
    <row r="2" spans="1:19" ht="18">
      <c r="A2" s="485" t="str">
        <f>PSO.WS.F.BPU.ATRR.Projected!A2</f>
        <v>2018 Cost of Service Formula Rate Projected on 2017 FF1 Balances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Q2" s="240" t="s">
        <v>125</v>
      </c>
      <c r="R2" s="7"/>
    </row>
    <row r="3" spans="1:19" ht="18">
      <c r="A3" s="488" t="s">
        <v>141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Q3" s="7"/>
      <c r="R3" s="7"/>
    </row>
    <row r="4" spans="1:19" ht="18">
      <c r="A4" s="487" t="str">
        <f>"Based on a Carrying Charge Derived from ""Trued-Up"" "&amp;M16&amp;" Data"</f>
        <v>Based on a Carrying Charge Derived from "Trued-Up" 2018 Data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Q4" s="7"/>
      <c r="R4" s="7"/>
    </row>
    <row r="5" spans="1:19" ht="18">
      <c r="A5" s="493" t="str">
        <f>PSO.WS.F.BPU.ATRR.Projected!A5</f>
        <v>PUBLIC SERVICE COMPANY OF OKLAHOMA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Q5" s="7"/>
      <c r="R5" s="7"/>
    </row>
    <row r="6" spans="1:19" ht="20.25">
      <c r="A6" s="179"/>
      <c r="C6" s="71"/>
      <c r="D6" s="9"/>
      <c r="I6" s="10"/>
      <c r="K6" s="7"/>
      <c r="Q6" s="7"/>
      <c r="R6" s="7"/>
    </row>
    <row r="7" spans="1:19">
      <c r="D7" s="9"/>
      <c r="I7" s="10"/>
      <c r="K7" s="7"/>
      <c r="Q7" s="7"/>
      <c r="R7" s="7"/>
    </row>
    <row r="8" spans="1:19" ht="38.25" customHeight="1">
      <c r="B8" s="435" t="s">
        <v>0</v>
      </c>
      <c r="C8" s="490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491"/>
      <c r="E8" s="491"/>
      <c r="F8" s="491"/>
      <c r="G8" s="491"/>
      <c r="H8" s="491"/>
      <c r="I8" s="491"/>
      <c r="K8" s="7"/>
      <c r="Q8" s="7"/>
      <c r="R8" s="7"/>
    </row>
    <row r="9" spans="1:19" ht="15.75" customHeight="1">
      <c r="C9" s="6"/>
      <c r="D9" s="6"/>
      <c r="E9" s="6"/>
      <c r="F9" s="6"/>
      <c r="G9" s="6"/>
      <c r="H9" s="6"/>
      <c r="I9" s="6"/>
      <c r="K9" s="7"/>
      <c r="Q9" s="7"/>
      <c r="R9" s="7"/>
    </row>
    <row r="10" spans="1:19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I10" s="10"/>
      <c r="K10" s="7"/>
      <c r="Q10" s="7"/>
      <c r="R10" s="7"/>
    </row>
    <row r="11" spans="1:19">
      <c r="D11" s="9"/>
      <c r="I11" s="10"/>
      <c r="K11" s="7"/>
      <c r="Q11" s="7"/>
      <c r="R11" s="7"/>
    </row>
    <row r="12" spans="1:19">
      <c r="C12" s="11" t="str">
        <f>S105</f>
        <v xml:space="preserve">   ROE w/o incentives  (True-Up TCOS, ln 135)</v>
      </c>
      <c r="D12" s="9"/>
      <c r="E12" s="12"/>
      <c r="F12" s="13">
        <f>+R105</f>
        <v>0.105</v>
      </c>
      <c r="G12" s="13"/>
      <c r="H12" s="14"/>
      <c r="I12" s="15"/>
      <c r="J12" s="16"/>
      <c r="K12" s="17"/>
      <c r="L12" s="16"/>
      <c r="M12" s="16"/>
      <c r="N12" s="16"/>
      <c r="O12" s="16"/>
      <c r="P12" s="16"/>
      <c r="Q12" s="17"/>
      <c r="R12" s="4"/>
      <c r="S12" s="1"/>
    </row>
    <row r="13" spans="1:19" ht="13.5" thickBot="1">
      <c r="C13" s="11" t="s">
        <v>1</v>
      </c>
      <c r="D13" s="9"/>
      <c r="E13" s="12"/>
      <c r="F13" s="19">
        <f>R106</f>
        <v>0</v>
      </c>
      <c r="G13" s="180" t="s">
        <v>152</v>
      </c>
      <c r="L13" s="16"/>
      <c r="M13" s="16"/>
      <c r="N13" s="16"/>
      <c r="O13" s="16"/>
      <c r="P13" s="16"/>
      <c r="Q13" s="17"/>
      <c r="R13" s="4"/>
      <c r="S13" s="1"/>
    </row>
    <row r="14" spans="1:19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0.105</v>
      </c>
      <c r="G14" s="21" t="s">
        <v>2</v>
      </c>
      <c r="I14" s="16"/>
      <c r="J14" s="16"/>
      <c r="K14" s="17"/>
      <c r="L14" s="181" t="s">
        <v>89</v>
      </c>
      <c r="M14" s="182"/>
      <c r="N14" s="182"/>
      <c r="O14" s="182"/>
      <c r="P14" s="183"/>
      <c r="Q14" s="17"/>
      <c r="R14" s="4"/>
      <c r="S14" s="1"/>
    </row>
    <row r="15" spans="1:19">
      <c r="C15" s="11" t="s">
        <v>235</v>
      </c>
      <c r="D15" s="9"/>
      <c r="E15" s="12"/>
      <c r="F15" s="20"/>
      <c r="G15" s="20"/>
      <c r="H15" s="12"/>
      <c r="I15" s="16"/>
      <c r="J15" s="16"/>
      <c r="K15" s="17"/>
      <c r="L15" s="31"/>
      <c r="M15" s="17"/>
      <c r="N15" s="17" t="s">
        <v>8</v>
      </c>
      <c r="O15" s="17" t="s">
        <v>9</v>
      </c>
      <c r="P15" s="33" t="s">
        <v>10</v>
      </c>
      <c r="Q15" s="17"/>
      <c r="R15" s="4"/>
      <c r="S15" s="1"/>
    </row>
    <row r="16" spans="1:19">
      <c r="C16" s="17"/>
      <c r="D16" s="23" t="s">
        <v>4</v>
      </c>
      <c r="E16" s="23" t="s">
        <v>5</v>
      </c>
      <c r="F16" s="24" t="s">
        <v>6</v>
      </c>
      <c r="G16" s="24"/>
      <c r="H16" s="12"/>
      <c r="I16" s="16"/>
      <c r="J16" s="16"/>
      <c r="K16" s="17"/>
      <c r="L16" s="31" t="s">
        <v>90</v>
      </c>
      <c r="M16" s="226">
        <f>+R104</f>
        <v>2018</v>
      </c>
      <c r="N16" s="7"/>
      <c r="O16" s="7"/>
      <c r="P16" s="39"/>
      <c r="Q16" s="17"/>
      <c r="R16" s="4"/>
      <c r="S16" s="1"/>
    </row>
    <row r="17" spans="3:19">
      <c r="C17" s="25" t="s">
        <v>7</v>
      </c>
      <c r="D17" s="26">
        <f>R107</f>
        <v>0.51250191622016406</v>
      </c>
      <c r="E17" s="27">
        <f>R108</f>
        <v>4.6781018729819407E-2</v>
      </c>
      <c r="F17" s="184">
        <f>E17*D17</f>
        <v>2.3975361741763832E-2</v>
      </c>
      <c r="G17" s="184"/>
      <c r="H17" s="12"/>
      <c r="I17" s="16"/>
      <c r="J17" s="29"/>
      <c r="K17" s="30"/>
      <c r="L17" s="38"/>
      <c r="M17" s="346" t="s">
        <v>219</v>
      </c>
      <c r="N17" s="186">
        <f>SUM('P.001:P.xyz - blank'!M87)</f>
        <v>7463959.3932195175</v>
      </c>
      <c r="O17" s="186">
        <f>SUM('P.001:P.xyz - blank'!N87)</f>
        <v>7463959.3932195175</v>
      </c>
      <c r="P17" s="187">
        <f>+O17-N17</f>
        <v>0</v>
      </c>
      <c r="Q17" s="30"/>
      <c r="R17" s="4"/>
      <c r="S17" s="1"/>
    </row>
    <row r="18" spans="3:19" ht="13.5" thickBot="1">
      <c r="C18" s="25" t="s">
        <v>11</v>
      </c>
      <c r="D18" s="26">
        <f>R109</f>
        <v>0</v>
      </c>
      <c r="E18" s="27">
        <f>R110</f>
        <v>0</v>
      </c>
      <c r="F18" s="184">
        <f>E18*D18</f>
        <v>0</v>
      </c>
      <c r="G18" s="184"/>
      <c r="H18" s="35"/>
      <c r="I18" s="35"/>
      <c r="J18" s="36"/>
      <c r="K18" s="37"/>
      <c r="L18" s="38"/>
      <c r="M18" s="345" t="s">
        <v>218</v>
      </c>
      <c r="N18" s="188">
        <f>SUM('P.001:P.xyz - blank'!M88)</f>
        <v>5985111.4543428477</v>
      </c>
      <c r="O18" s="188">
        <f>SUM('P.001:P.xyz - blank'!N88)</f>
        <v>5985111.4543428477</v>
      </c>
      <c r="P18" s="45">
        <f>+O18-N18</f>
        <v>0</v>
      </c>
      <c r="Q18" s="37"/>
      <c r="R18" s="4"/>
      <c r="S18" s="1"/>
    </row>
    <row r="19" spans="3:19">
      <c r="C19" s="40" t="s">
        <v>12</v>
      </c>
      <c r="D19" s="26">
        <f>R111</f>
        <v>0.48749808377983594</v>
      </c>
      <c r="E19" s="27">
        <f>+F14</f>
        <v>0.105</v>
      </c>
      <c r="F19" s="189">
        <f>E19*D19</f>
        <v>5.1187298796882774E-2</v>
      </c>
      <c r="G19" s="189"/>
      <c r="H19" s="35"/>
      <c r="I19" s="35"/>
      <c r="J19" s="20"/>
      <c r="K19" s="37"/>
      <c r="L19" s="38"/>
      <c r="M19" s="185" t="str">
        <f>"True-up Adjustment For "&amp;M16&amp;""</f>
        <v>True-up Adjustment For 2018</v>
      </c>
      <c r="N19" s="190">
        <f>+N18-N17</f>
        <v>-1478847.9388766699</v>
      </c>
      <c r="O19" s="190">
        <f>+O18-O17</f>
        <v>-1478847.9388766699</v>
      </c>
      <c r="P19" s="191">
        <f>+P18-P17</f>
        <v>0</v>
      </c>
      <c r="Q19" s="37"/>
      <c r="R19" s="4"/>
      <c r="S19" s="1"/>
    </row>
    <row r="20" spans="3:19">
      <c r="C20" s="11"/>
      <c r="D20" s="12"/>
      <c r="E20" s="46" t="s">
        <v>14</v>
      </c>
      <c r="F20" s="184">
        <f>SUM(F17:F19)</f>
        <v>7.5162660538646606E-2</v>
      </c>
      <c r="G20" s="184"/>
      <c r="H20" s="192"/>
      <c r="I20" s="35"/>
      <c r="J20" s="36"/>
      <c r="K20" s="37"/>
      <c r="L20" s="38"/>
      <c r="M20" s="7"/>
      <c r="N20" s="230" t="str">
        <f>IF(ROUND(N19,0)=ROUND(SUM('P.001:P.xyz - blank'!M89),0),"","ERROR")</f>
        <v/>
      </c>
      <c r="O20" s="230" t="str">
        <f>IF(ROUND(O19,0)=ROUND(SUM('P.001:P.xyz - blank'!N89),0),"","ERROR")</f>
        <v/>
      </c>
      <c r="P20" s="230" t="str">
        <f>IF(P19=SUM('P.001:P.xyz - blank'!O89),"","ERROR")</f>
        <v/>
      </c>
      <c r="Q20" s="37"/>
      <c r="R20" s="4"/>
      <c r="S20" s="1"/>
    </row>
    <row r="21" spans="3:19" ht="13.5" thickBot="1">
      <c r="D21" s="47"/>
      <c r="E21" s="47"/>
      <c r="F21" s="35"/>
      <c r="G21" s="35"/>
      <c r="H21" s="35"/>
      <c r="I21" s="35"/>
      <c r="J21" s="35"/>
      <c r="K21" s="48"/>
      <c r="L21" s="193"/>
      <c r="M21" s="43"/>
      <c r="N21" s="194"/>
      <c r="O21" s="194"/>
      <c r="P21" s="45"/>
      <c r="Q21" s="48"/>
      <c r="R21" s="4"/>
      <c r="S21" s="1"/>
    </row>
    <row r="22" spans="3:19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50"/>
      <c r="H22" s="35"/>
      <c r="I22" s="12"/>
      <c r="J22" s="35"/>
      <c r="K22" s="48"/>
      <c r="L22" s="35"/>
      <c r="M22" s="35"/>
      <c r="N22" s="35"/>
      <c r="O22" s="35"/>
      <c r="P22" s="35"/>
      <c r="Q22" s="48"/>
      <c r="R22" s="4"/>
      <c r="S22" s="1"/>
    </row>
    <row r="23" spans="3:19">
      <c r="C23" s="17"/>
      <c r="D23" s="47"/>
      <c r="E23" s="47"/>
      <c r="F23" s="48"/>
      <c r="G23" s="48"/>
      <c r="H23" s="48"/>
      <c r="I23" s="48"/>
      <c r="J23" s="48"/>
      <c r="K23" s="48"/>
      <c r="L23" s="49" t="s">
        <v>15</v>
      </c>
      <c r="M23" s="48"/>
      <c r="N23" s="48"/>
      <c r="O23" s="48"/>
      <c r="P23" s="48"/>
      <c r="Q23" s="48"/>
      <c r="R23" s="4"/>
      <c r="S23" s="1"/>
    </row>
    <row r="24" spans="3:19">
      <c r="C24" s="11" t="str">
        <f>S112</f>
        <v xml:space="preserve">   Rate Base  (True-Up TCOS, ln 63)</v>
      </c>
      <c r="D24" s="12"/>
      <c r="E24" s="52">
        <f>R112</f>
        <v>453618577.73124564</v>
      </c>
      <c r="F24" s="53"/>
      <c r="G24" s="53"/>
      <c r="H24" s="48"/>
      <c r="I24" s="48"/>
      <c r="J24" s="48"/>
      <c r="K24" s="48"/>
      <c r="L24" t="s">
        <v>16</v>
      </c>
      <c r="M24" s="48"/>
      <c r="N24" s="48"/>
      <c r="O24" s="48"/>
      <c r="P24" s="53"/>
      <c r="Q24" s="48"/>
      <c r="R24" s="4"/>
      <c r="S24" s="1"/>
    </row>
    <row r="25" spans="3:19">
      <c r="C25" s="17" t="s">
        <v>17</v>
      </c>
      <c r="D25" s="14"/>
      <c r="E25" s="54">
        <f>F20</f>
        <v>7.5162660538646606E-2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"/>
      <c r="S25" s="1"/>
    </row>
    <row r="26" spans="3:19">
      <c r="C26" s="55" t="s">
        <v>18</v>
      </c>
      <c r="D26" s="55"/>
      <c r="E26" s="36">
        <f>E24*E25</f>
        <v>34095179.172037296</v>
      </c>
      <c r="F26" s="48"/>
      <c r="G26" s="48"/>
      <c r="H26" s="48"/>
      <c r="I26" s="48"/>
      <c r="J26" s="37"/>
      <c r="K26" s="37"/>
      <c r="L26" s="37"/>
      <c r="M26" s="37"/>
      <c r="N26" s="37"/>
      <c r="O26" s="37"/>
      <c r="P26" s="48"/>
      <c r="Q26" s="37"/>
      <c r="R26" s="4"/>
      <c r="S26" s="1"/>
    </row>
    <row r="27" spans="3:19">
      <c r="C27" s="56"/>
      <c r="D27" s="16"/>
      <c r="E27" s="16"/>
      <c r="F27" s="48"/>
      <c r="G27" s="48"/>
      <c r="H27" s="48"/>
      <c r="I27" s="48"/>
      <c r="J27" s="37"/>
      <c r="K27" s="37"/>
      <c r="L27" s="37"/>
      <c r="M27" s="37"/>
      <c r="N27" s="37"/>
      <c r="O27" s="37"/>
      <c r="P27" s="48"/>
      <c r="Q27" s="37"/>
      <c r="R27" s="4"/>
      <c r="S27" s="1"/>
    </row>
    <row r="28" spans="3:19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8"/>
      <c r="J28" s="59"/>
      <c r="K28" s="59"/>
      <c r="L28" s="59"/>
      <c r="M28" s="59"/>
      <c r="N28" s="59"/>
      <c r="O28" s="59"/>
      <c r="P28" s="58"/>
      <c r="Q28" s="59"/>
      <c r="R28" s="4"/>
      <c r="S28" s="1"/>
    </row>
    <row r="29" spans="3:19">
      <c r="C29" s="11"/>
      <c r="D29" s="16"/>
      <c r="E29" s="16"/>
      <c r="F29" s="48"/>
      <c r="G29" s="48"/>
      <c r="H29" s="48"/>
      <c r="I29" s="48"/>
      <c r="J29" s="37"/>
      <c r="K29" s="37"/>
      <c r="L29" s="37"/>
      <c r="M29" s="37"/>
      <c r="N29" s="37">
        <f>+N17-6729904</f>
        <v>734055.39321951754</v>
      </c>
      <c r="O29" s="37"/>
      <c r="P29" s="48"/>
      <c r="Q29" s="37"/>
      <c r="R29" s="4"/>
      <c r="S29" s="1"/>
    </row>
    <row r="30" spans="3:19">
      <c r="C30" s="17" t="s">
        <v>19</v>
      </c>
      <c r="D30" s="46"/>
      <c r="E30" s="60">
        <f>E26</f>
        <v>34095179.172037296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"/>
      <c r="S30" s="1"/>
    </row>
    <row r="31" spans="3:19">
      <c r="C31" s="11" t="str">
        <f>S113</f>
        <v xml:space="preserve">   Tax Rate  (True-Up TCOS, ln 105)</v>
      </c>
      <c r="D31" s="46"/>
      <c r="E31" s="61">
        <f>R113</f>
        <v>0.2533709999999999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"/>
      <c r="S31" s="1"/>
    </row>
    <row r="32" spans="3:19">
      <c r="C32" s="17" t="s">
        <v>20</v>
      </c>
      <c r="D32" s="2"/>
      <c r="E32" s="20">
        <f>IF(F17&gt;0,($E31/(1-$E31))*(1-$F17/$F20),0)</f>
        <v>0.23110647774032195</v>
      </c>
      <c r="F32" s="1"/>
      <c r="G32" s="1"/>
      <c r="H32" s="1"/>
      <c r="I32" s="3"/>
      <c r="J32" s="1"/>
      <c r="K32" s="4"/>
      <c r="L32" s="1"/>
      <c r="M32" s="1"/>
      <c r="N32" s="1"/>
      <c r="O32" s="1"/>
      <c r="P32" s="1"/>
      <c r="Q32" s="4"/>
      <c r="R32" s="4"/>
      <c r="S32" s="103"/>
    </row>
    <row r="33" spans="2:19">
      <c r="C33" s="56" t="s">
        <v>21</v>
      </c>
      <c r="D33" s="2"/>
      <c r="E33" s="63">
        <f>E30*E32</f>
        <v>7879616.7663747258</v>
      </c>
      <c r="F33" s="1"/>
      <c r="G33" s="1"/>
      <c r="H33" s="1"/>
      <c r="I33" s="3"/>
      <c r="J33" s="1"/>
      <c r="K33" s="4"/>
      <c r="L33" s="1"/>
      <c r="M33" s="1"/>
      <c r="N33" s="1"/>
      <c r="O33" s="1"/>
      <c r="P33" s="1"/>
      <c r="Q33" s="4"/>
      <c r="R33" s="4"/>
      <c r="S33" s="1"/>
    </row>
    <row r="34" spans="2:19" ht="15">
      <c r="C34" s="11" t="str">
        <f>+S114</f>
        <v xml:space="preserve">   ITC Adjustment  (True-Up TCOS, ln 102)</v>
      </c>
      <c r="D34" s="65"/>
      <c r="E34" s="68">
        <f>R114</f>
        <v>-435087.55511327944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  <c r="R34" s="4"/>
      <c r="S34" s="1"/>
    </row>
    <row r="35" spans="2:19" ht="15">
      <c r="C35" s="73" t="str">
        <f>+S115</f>
        <v xml:space="preserve">   Excess DFIT Adjustment  (TCOS, ln 109)</v>
      </c>
      <c r="D35" s="65"/>
      <c r="E35" s="68">
        <f>R115</f>
        <v>-4933248.5076256059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  <c r="R35" s="4"/>
      <c r="S35" s="1"/>
    </row>
    <row r="36" spans="2:19" ht="15">
      <c r="C36" s="73" t="str">
        <f>+S116</f>
        <v xml:space="preserve">   Tax Effect of Permanent and Flow Through Differences (TCOS, ln 110)</v>
      </c>
      <c r="D36" s="65"/>
      <c r="E36" s="68">
        <f>R116</f>
        <v>78753.972856666413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  <c r="R36" s="4"/>
      <c r="S36" s="1"/>
    </row>
    <row r="37" spans="2:19" ht="15">
      <c r="C37" s="56" t="s">
        <v>22</v>
      </c>
      <c r="D37" s="65"/>
      <c r="E37" s="68">
        <f>E33+E34+E35+E36</f>
        <v>2590034.6764925071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  <c r="R37" s="4"/>
      <c r="S37" s="1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4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4"/>
      <c r="S39" s="1"/>
    </row>
    <row r="40" spans="2:19" ht="18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4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4"/>
      <c r="S41" s="1"/>
    </row>
    <row r="42" spans="2:19" ht="15.75">
      <c r="C42" s="8" t="s">
        <v>24</v>
      </c>
      <c r="D42" s="65"/>
      <c r="E42" s="65"/>
      <c r="F42" s="72"/>
      <c r="G42" s="72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4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4"/>
      <c r="S43" s="1"/>
    </row>
    <row r="44" spans="2:19" ht="12.75" customHeight="1">
      <c r="B44" s="1"/>
      <c r="C44" s="11" t="str">
        <f>S117</f>
        <v xml:space="preserve">   Net Revenue Requirement  (True-Up TCOS, ln 109)</v>
      </c>
      <c r="D44" s="74"/>
      <c r="E44" s="74"/>
      <c r="F44" s="68">
        <f>R117</f>
        <v>82496506.965986535</v>
      </c>
      <c r="G44" s="68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4"/>
      <c r="S44" s="1"/>
    </row>
    <row r="45" spans="2:19">
      <c r="B45" s="1"/>
      <c r="C45" s="11" t="str">
        <f>S118</f>
        <v xml:space="preserve">   Return  (True-Up TCOS, ln 104)</v>
      </c>
      <c r="D45" s="74"/>
      <c r="E45" s="74"/>
      <c r="F45" s="68">
        <f>R118</f>
        <v>34095179.172037296</v>
      </c>
      <c r="G45" s="75"/>
      <c r="H45" s="76"/>
      <c r="I45" s="76"/>
      <c r="J45" s="76"/>
      <c r="K45" s="76"/>
      <c r="L45" s="76"/>
      <c r="M45" s="76"/>
      <c r="N45" s="76"/>
      <c r="O45" s="76"/>
      <c r="P45" s="68"/>
      <c r="Q45" s="76"/>
      <c r="R45" s="4"/>
      <c r="S45" s="1"/>
    </row>
    <row r="46" spans="2:19">
      <c r="B46" s="1"/>
      <c r="C46" s="11" t="str">
        <f>S119</f>
        <v xml:space="preserve">   Income Taxes  (True-Up TCOS, ln 103)</v>
      </c>
      <c r="D46" s="74"/>
      <c r="E46" s="74"/>
      <c r="F46" s="68">
        <f>R119</f>
        <v>2590034.6764925071</v>
      </c>
      <c r="G46" s="68"/>
      <c r="H46" s="74"/>
      <c r="I46" s="74"/>
      <c r="J46" s="77"/>
      <c r="K46" s="77"/>
      <c r="L46" s="77"/>
      <c r="M46" s="77"/>
      <c r="N46" s="77"/>
      <c r="O46" s="77"/>
      <c r="P46" s="74"/>
      <c r="Q46" s="77"/>
      <c r="R46" s="4"/>
      <c r="S46" s="1"/>
    </row>
    <row r="47" spans="2:19">
      <c r="B47" s="1"/>
      <c r="C47" s="11" t="str">
        <f>S120</f>
        <v xml:space="preserve">  Gross Margin Taxes  (True-Up TCOS, ln 108)</v>
      </c>
      <c r="D47" s="74"/>
      <c r="E47" s="74"/>
      <c r="F47" s="66">
        <f>R120</f>
        <v>0</v>
      </c>
      <c r="G47" s="68"/>
      <c r="H47" s="74"/>
      <c r="I47" s="74"/>
      <c r="J47" s="77"/>
      <c r="K47" s="77"/>
      <c r="L47" s="77"/>
      <c r="M47" s="77"/>
      <c r="N47" s="77"/>
      <c r="O47" s="77"/>
      <c r="P47" s="74"/>
      <c r="Q47" s="77"/>
      <c r="R47" s="4"/>
      <c r="S47" s="1"/>
    </row>
    <row r="48" spans="2:19">
      <c r="B48" s="1"/>
      <c r="C48" s="22" t="s">
        <v>25</v>
      </c>
      <c r="D48" s="74"/>
      <c r="E48" s="74"/>
      <c r="F48" s="75">
        <f>F44-F45-F46-F47</f>
        <v>45811293.117456734</v>
      </c>
      <c r="G48" s="75"/>
      <c r="H48" s="78"/>
      <c r="I48" s="74"/>
      <c r="J48" s="78"/>
      <c r="K48" s="78"/>
      <c r="L48" s="78"/>
      <c r="M48" s="78"/>
      <c r="N48" s="78"/>
      <c r="O48" s="78"/>
      <c r="P48" s="78"/>
      <c r="Q48" s="78"/>
      <c r="R48" s="4"/>
      <c r="S48" s="1"/>
    </row>
    <row r="49" spans="2:19">
      <c r="B49" s="1"/>
      <c r="C49" s="73"/>
      <c r="D49" s="74"/>
      <c r="E49" s="74"/>
      <c r="F49" s="68"/>
      <c r="G49" s="68"/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4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68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4"/>
      <c r="S50" s="1"/>
    </row>
    <row r="51" spans="2:19">
      <c r="B51" s="1"/>
      <c r="C51" s="73"/>
      <c r="D51" s="81"/>
      <c r="E51" s="81"/>
      <c r="F51" s="68"/>
      <c r="G51" s="68"/>
      <c r="H51" s="79"/>
      <c r="I51" s="80"/>
      <c r="J51" s="80"/>
      <c r="K51" s="80"/>
      <c r="L51" s="80"/>
      <c r="M51" s="80"/>
      <c r="N51" s="80"/>
      <c r="O51" s="80"/>
      <c r="P51" s="80"/>
      <c r="Q51" s="80"/>
      <c r="R51" s="4"/>
      <c r="S51" s="1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45811293.117456734</v>
      </c>
      <c r="G52" s="68"/>
      <c r="H52" s="74"/>
      <c r="I52" s="74"/>
      <c r="J52" s="74"/>
      <c r="K52" s="74"/>
      <c r="L52" s="74"/>
      <c r="M52" s="74"/>
      <c r="N52" s="74"/>
      <c r="O52" s="74"/>
      <c r="P52" s="84"/>
      <c r="Q52" s="74"/>
      <c r="R52" s="4"/>
      <c r="S52" s="1"/>
    </row>
    <row r="53" spans="2:19">
      <c r="B53" s="1"/>
      <c r="C53" s="17" t="s">
        <v>103</v>
      </c>
      <c r="D53" s="86"/>
      <c r="E53" s="22"/>
      <c r="F53" s="87">
        <f>E26</f>
        <v>34095179.172037296</v>
      </c>
      <c r="G53" s="87"/>
      <c r="H53" s="22"/>
      <c r="I53" s="88"/>
      <c r="J53" s="22"/>
      <c r="K53" s="22"/>
      <c r="L53" s="22"/>
      <c r="M53" s="22"/>
      <c r="N53" s="22"/>
      <c r="O53" s="22"/>
      <c r="P53" s="22"/>
      <c r="Q53" s="22"/>
      <c r="R53" s="4"/>
      <c r="S53" s="1"/>
    </row>
    <row r="54" spans="2:19" ht="12.75" customHeight="1">
      <c r="B54" s="1"/>
      <c r="C54" s="11" t="s">
        <v>26</v>
      </c>
      <c r="D54" s="74"/>
      <c r="E54" s="74"/>
      <c r="F54" s="195">
        <f>E37</f>
        <v>2590034.6764925071</v>
      </c>
      <c r="G54" s="89"/>
      <c r="H54" s="1"/>
      <c r="I54" s="3"/>
      <c r="J54" s="1"/>
      <c r="K54" s="4"/>
      <c r="L54" s="1"/>
      <c r="M54" s="1"/>
      <c r="N54" s="1"/>
      <c r="O54" s="1"/>
      <c r="P54" s="1"/>
      <c r="Q54" s="4"/>
      <c r="R54" s="4"/>
      <c r="S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82496506.96598655</v>
      </c>
      <c r="G55" s="63"/>
      <c r="H55" s="1"/>
      <c r="I55" s="3"/>
      <c r="J55" s="1"/>
      <c r="K55" s="4"/>
      <c r="L55" s="1"/>
      <c r="M55" s="1"/>
      <c r="N55" s="1"/>
      <c r="O55" s="1"/>
      <c r="P55" s="1"/>
      <c r="Q55" s="4"/>
      <c r="R55" s="4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87"/>
      <c r="H56" s="1"/>
      <c r="I56" s="3"/>
      <c r="J56" s="1"/>
      <c r="K56" s="4"/>
      <c r="L56" s="1"/>
      <c r="M56" s="1"/>
      <c r="N56" s="1"/>
      <c r="O56" s="1"/>
      <c r="P56" s="1"/>
      <c r="Q56" s="4"/>
      <c r="R56" s="4"/>
      <c r="S56" s="1"/>
    </row>
    <row r="57" spans="2:19">
      <c r="B57" s="1"/>
      <c r="C57" s="22" t="s">
        <v>27</v>
      </c>
      <c r="D57" s="2"/>
      <c r="E57" s="1"/>
      <c r="F57" s="92">
        <f>+F55+F56</f>
        <v>82496506.96598655</v>
      </c>
      <c r="G57" s="92"/>
      <c r="H57" s="1"/>
      <c r="I57" s="3"/>
      <c r="J57" s="1"/>
      <c r="K57" s="4"/>
      <c r="L57" s="1"/>
      <c r="M57" s="1"/>
      <c r="N57" s="1"/>
      <c r="O57" s="1"/>
      <c r="P57" s="1"/>
      <c r="Q57" s="4"/>
      <c r="R57" s="4"/>
      <c r="S57" s="1"/>
    </row>
    <row r="58" spans="2:19">
      <c r="B58" s="1"/>
      <c r="C58" s="11" t="str">
        <f>S121</f>
        <v xml:space="preserve">   Less: Depreciation  (True-Up TCOS, ln 82)</v>
      </c>
      <c r="D58" s="2"/>
      <c r="E58" s="1"/>
      <c r="F58" s="93">
        <f>R121</f>
        <v>18733043.911233526</v>
      </c>
      <c r="G58" s="93"/>
      <c r="H58" s="1"/>
      <c r="I58" s="3"/>
      <c r="J58" s="1"/>
      <c r="K58" s="4"/>
      <c r="L58" s="1"/>
      <c r="M58" s="1"/>
      <c r="N58" s="1"/>
      <c r="O58" s="1"/>
      <c r="P58" s="1"/>
      <c r="Q58" s="4"/>
      <c r="R58" s="4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63763463.05475302</v>
      </c>
      <c r="G59" s="63"/>
      <c r="H59" s="1"/>
      <c r="I59" s="3"/>
      <c r="J59" s="1"/>
      <c r="K59" s="4"/>
      <c r="L59" s="1"/>
      <c r="M59" s="1"/>
      <c r="N59" s="1"/>
      <c r="O59" s="1"/>
      <c r="P59" s="1"/>
      <c r="Q59" s="4"/>
      <c r="R59" s="4"/>
      <c r="S59" s="1"/>
    </row>
    <row r="60" spans="2:19">
      <c r="B60" s="1"/>
      <c r="C60" s="1"/>
      <c r="D60" s="2"/>
      <c r="E60" s="1"/>
      <c r="F60" s="1"/>
      <c r="G60" s="1"/>
      <c r="H60" s="1"/>
      <c r="I60" s="3"/>
      <c r="J60" s="1"/>
      <c r="K60" s="4"/>
      <c r="L60" s="1"/>
      <c r="M60" s="1"/>
      <c r="N60" s="1"/>
      <c r="O60" s="1"/>
      <c r="P60" s="1"/>
      <c r="Q60" s="4"/>
      <c r="R60" s="4"/>
      <c r="S60" s="1"/>
    </row>
    <row r="61" spans="2:19" ht="15.75">
      <c r="B61" s="1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96"/>
      <c r="H61" s="18"/>
      <c r="I61" s="3"/>
      <c r="J61" s="1"/>
      <c r="K61" s="4"/>
      <c r="L61" s="1"/>
      <c r="M61" s="1"/>
      <c r="N61" s="1"/>
      <c r="O61" s="1"/>
      <c r="P61" s="1"/>
      <c r="Q61" s="4"/>
      <c r="R61" s="4"/>
      <c r="S61" s="1"/>
    </row>
    <row r="62" spans="2:19">
      <c r="B62" s="1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82496506.96598655</v>
      </c>
      <c r="G62" s="96"/>
      <c r="H62" s="18"/>
      <c r="I62" s="3"/>
      <c r="J62" s="1"/>
      <c r="K62" s="4"/>
      <c r="L62" s="1"/>
      <c r="M62" s="1"/>
      <c r="N62" s="1"/>
      <c r="O62" s="1"/>
      <c r="P62" s="1"/>
      <c r="Q62" s="4"/>
      <c r="R62" s="4"/>
      <c r="S62" s="1"/>
    </row>
    <row r="63" spans="2:19">
      <c r="B63" s="1"/>
      <c r="C63" s="64" t="s">
        <v>28</v>
      </c>
      <c r="D63" s="95"/>
      <c r="E63" s="95"/>
      <c r="F63" s="96"/>
      <c r="G63" s="96"/>
      <c r="H63" s="18"/>
      <c r="I63" s="3"/>
      <c r="J63" s="1"/>
      <c r="K63" s="4"/>
      <c r="L63" s="1"/>
      <c r="M63" s="1"/>
      <c r="N63" s="1"/>
      <c r="O63" s="1"/>
      <c r="P63" s="1"/>
      <c r="Q63" s="4"/>
      <c r="R63" s="4"/>
      <c r="S63" s="1"/>
    </row>
    <row r="64" spans="2:19">
      <c r="B64" s="1"/>
      <c r="C64" s="22" t="str">
        <f>S122</f>
        <v xml:space="preserve">       Apportionment Factor to Texas (Worksheet K, ln 12)</v>
      </c>
      <c r="D64" s="62"/>
      <c r="E64" s="18"/>
      <c r="F64" s="98">
        <f>R122</f>
        <v>0</v>
      </c>
      <c r="G64" s="146"/>
      <c r="H64" s="18"/>
      <c r="I64" s="3"/>
      <c r="J64" s="1"/>
      <c r="K64" s="4"/>
      <c r="L64" s="1"/>
      <c r="M64" s="1"/>
      <c r="N64" s="1"/>
      <c r="O64" s="1"/>
      <c r="P64" s="1"/>
      <c r="Q64" s="4"/>
      <c r="R64" s="4"/>
      <c r="S64" s="1"/>
    </row>
    <row r="65" spans="2:19">
      <c r="B65" s="1"/>
      <c r="C65" s="22" t="s">
        <v>29</v>
      </c>
      <c r="D65" s="62"/>
      <c r="E65" s="18"/>
      <c r="F65" s="96">
        <f>+F64*F62</f>
        <v>0</v>
      </c>
      <c r="G65" s="96"/>
      <c r="H65" s="18"/>
      <c r="I65" s="3"/>
      <c r="J65" s="1"/>
      <c r="K65" s="4"/>
      <c r="L65" s="1"/>
      <c r="M65" s="1"/>
      <c r="N65" s="1"/>
      <c r="O65" s="1"/>
      <c r="P65" s="1"/>
      <c r="Q65" s="4"/>
      <c r="R65" s="4"/>
      <c r="S65" s="1"/>
    </row>
    <row r="66" spans="2:19">
      <c r="B66" s="1"/>
      <c r="C66" s="22" t="str">
        <f>+PSO.WS.F.BPU.ATRR.Projected!C66</f>
        <v xml:space="preserve">       Taxable Percentage of Revenue (22%)</v>
      </c>
      <c r="D66" s="62"/>
      <c r="E66" s="18"/>
      <c r="F66" s="99">
        <f>+PSO.WS.F.BPU.ATRR.Projected!F66</f>
        <v>0.22</v>
      </c>
      <c r="G66" s="196"/>
      <c r="H66" s="18"/>
      <c r="I66" s="3"/>
      <c r="J66" s="1"/>
      <c r="K66" s="4"/>
      <c r="L66" s="1"/>
      <c r="M66" s="1"/>
      <c r="N66" s="1"/>
      <c r="O66" s="1"/>
      <c r="P66" s="1"/>
      <c r="Q66" s="4"/>
      <c r="R66" s="4"/>
      <c r="S66" s="1"/>
    </row>
    <row r="67" spans="2:19">
      <c r="B67" s="1"/>
      <c r="C67" s="22" t="s">
        <v>30</v>
      </c>
      <c r="D67" s="62"/>
      <c r="E67" s="18"/>
      <c r="F67" s="96">
        <f>+F65*F66</f>
        <v>0</v>
      </c>
      <c r="G67" s="96"/>
      <c r="H67" s="18"/>
      <c r="I67" s="3"/>
      <c r="J67" s="1"/>
      <c r="K67" s="4"/>
      <c r="L67" s="1"/>
      <c r="M67" s="1"/>
      <c r="N67" s="1"/>
      <c r="O67" s="1"/>
      <c r="P67" s="1"/>
      <c r="Q67" s="4"/>
      <c r="R67" s="4"/>
      <c r="S67" s="1"/>
    </row>
    <row r="68" spans="2:19">
      <c r="B68" s="1"/>
      <c r="C68" s="22" t="s">
        <v>31</v>
      </c>
      <c r="D68" s="62"/>
      <c r="E68" s="18"/>
      <c r="F68" s="99">
        <v>0.01</v>
      </c>
      <c r="G68" s="196"/>
      <c r="H68" s="18"/>
      <c r="I68" s="3"/>
      <c r="J68" s="1"/>
      <c r="K68" s="4"/>
      <c r="L68" s="1"/>
      <c r="M68" s="1"/>
      <c r="N68" s="1"/>
      <c r="O68" s="1"/>
      <c r="P68" s="1"/>
      <c r="Q68" s="4"/>
      <c r="R68" s="4"/>
      <c r="S68" s="1"/>
    </row>
    <row r="69" spans="2:19">
      <c r="B69" s="1"/>
      <c r="C69" s="22" t="s">
        <v>32</v>
      </c>
      <c r="D69" s="62"/>
      <c r="E69" s="18"/>
      <c r="F69" s="96">
        <f>+F67*F68</f>
        <v>0</v>
      </c>
      <c r="G69" s="96"/>
      <c r="H69" s="18"/>
      <c r="I69" s="3"/>
      <c r="J69" s="1"/>
      <c r="K69" s="4"/>
      <c r="L69" s="1"/>
      <c r="M69" s="1"/>
      <c r="N69" s="1"/>
      <c r="O69" s="1"/>
      <c r="P69" s="1"/>
      <c r="Q69" s="4"/>
      <c r="R69" s="4"/>
      <c r="S69" s="1"/>
    </row>
    <row r="70" spans="2:19">
      <c r="B70" s="1"/>
      <c r="C70" s="22" t="s">
        <v>33</v>
      </c>
      <c r="D70" s="62"/>
      <c r="E70" s="18"/>
      <c r="F70" s="100">
        <f>+ROUND((F69*F66*F64)/(1-F68)*F68,0)</f>
        <v>0</v>
      </c>
      <c r="G70" s="197"/>
      <c r="H70" s="18"/>
      <c r="I70" s="3"/>
      <c r="J70" s="1"/>
      <c r="K70" s="4"/>
      <c r="L70" s="1"/>
      <c r="M70" s="1"/>
      <c r="N70" s="1"/>
      <c r="O70" s="1"/>
      <c r="P70" s="1"/>
      <c r="Q70" s="4"/>
      <c r="R70" s="4"/>
      <c r="S70" s="1"/>
    </row>
    <row r="71" spans="2:19">
      <c r="B71" s="1"/>
      <c r="C71" s="22" t="s">
        <v>34</v>
      </c>
      <c r="D71" s="62"/>
      <c r="E71" s="18"/>
      <c r="F71" s="96">
        <f>+F69+F70</f>
        <v>0</v>
      </c>
      <c r="G71" s="96"/>
      <c r="H71" s="18"/>
      <c r="I71" s="3"/>
      <c r="J71" s="1"/>
      <c r="K71" s="4"/>
      <c r="L71" s="1"/>
      <c r="M71" s="1"/>
      <c r="N71" s="1"/>
      <c r="O71" s="1"/>
      <c r="P71" s="1"/>
      <c r="Q71" s="4"/>
      <c r="R71" s="4"/>
      <c r="S71" s="1"/>
    </row>
    <row r="72" spans="2:19">
      <c r="B72" s="1"/>
      <c r="C72" s="1"/>
      <c r="D72" s="2"/>
      <c r="E72" s="1"/>
      <c r="F72" s="1"/>
      <c r="G72" s="1"/>
      <c r="H72" s="1"/>
      <c r="I72" s="3"/>
      <c r="J72" s="1"/>
      <c r="K72" s="4"/>
      <c r="L72" s="1"/>
      <c r="M72" s="1"/>
      <c r="N72" s="1"/>
      <c r="O72" s="1"/>
      <c r="P72" s="1"/>
      <c r="Q72" s="4"/>
      <c r="R72" s="4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1"/>
      <c r="I73" s="10"/>
      <c r="J73" s="1"/>
      <c r="K73" s="4"/>
      <c r="L73" s="1"/>
      <c r="M73" s="1"/>
      <c r="N73" s="1"/>
      <c r="O73" s="1"/>
      <c r="P73" s="1"/>
      <c r="Q73" s="4"/>
      <c r="R73" s="4"/>
      <c r="S73" s="1"/>
    </row>
    <row r="74" spans="2:19">
      <c r="B74" s="1"/>
      <c r="C74" s="1"/>
      <c r="D74" s="2"/>
      <c r="E74" s="1"/>
      <c r="F74" s="1"/>
      <c r="G74" s="1"/>
      <c r="H74" s="1"/>
      <c r="I74" s="3"/>
      <c r="J74" s="1"/>
      <c r="K74" s="4"/>
      <c r="L74" s="1"/>
      <c r="M74" s="1"/>
      <c r="N74" s="1"/>
      <c r="O74" s="1"/>
      <c r="P74" s="1"/>
      <c r="Q74" s="4"/>
      <c r="R74" s="4"/>
      <c r="S74" s="1"/>
    </row>
    <row r="75" spans="2:19">
      <c r="B75" s="1"/>
      <c r="C75" s="73" t="str">
        <f>S123</f>
        <v xml:space="preserve">   Net Transmission Plant  (True-Up TCOS, ln 39)</v>
      </c>
      <c r="D75" s="2"/>
      <c r="E75" s="1"/>
      <c r="F75" s="63">
        <f>R123</f>
        <v>620656166.35159492</v>
      </c>
      <c r="G75" s="63"/>
      <c r="I75" s="10"/>
      <c r="J75" s="1"/>
      <c r="K75" s="4"/>
      <c r="L75" s="1"/>
      <c r="M75" s="1"/>
      <c r="N75" s="1"/>
      <c r="O75" s="1"/>
      <c r="P75" s="1"/>
      <c r="Q75" s="4"/>
      <c r="R75" s="4"/>
      <c r="S75" s="1"/>
    </row>
    <row r="76" spans="2:19" ht="15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98">
        <f>+F57</f>
        <v>82496506.96598655</v>
      </c>
      <c r="G76" s="198"/>
      <c r="I76" s="10"/>
      <c r="J76" s="1"/>
      <c r="K76" s="4"/>
      <c r="L76" s="1"/>
      <c r="M76" s="1"/>
      <c r="N76" s="1"/>
      <c r="O76" s="1"/>
      <c r="P76" s="1"/>
      <c r="Q76" s="4"/>
      <c r="R76" s="4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0.1329182104979735</v>
      </c>
      <c r="G77" s="103"/>
      <c r="I77" s="10"/>
      <c r="J77" s="1"/>
      <c r="K77" s="4"/>
      <c r="L77" s="1"/>
      <c r="M77" s="1"/>
      <c r="N77" s="1"/>
      <c r="O77" s="1"/>
      <c r="P77" s="1"/>
      <c r="Q77" s="4"/>
      <c r="R77" s="4"/>
      <c r="S77" s="1"/>
    </row>
    <row r="78" spans="2:19">
      <c r="B78" s="1"/>
      <c r="D78" s="2"/>
      <c r="E78" s="1"/>
      <c r="F78" s="18"/>
      <c r="G78" s="18"/>
      <c r="H78" s="199"/>
      <c r="I78" s="10"/>
      <c r="J78" s="1"/>
      <c r="K78" s="4"/>
      <c r="L78" s="1"/>
      <c r="M78" s="1"/>
      <c r="N78" s="1"/>
      <c r="O78" s="1"/>
      <c r="P78" s="1"/>
      <c r="Q78" s="4"/>
      <c r="R78" s="4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+F59</f>
        <v>63763463.05475302</v>
      </c>
      <c r="G79" s="63"/>
      <c r="I79" s="10"/>
      <c r="J79" s="1"/>
      <c r="K79" s="4"/>
      <c r="L79" s="1"/>
      <c r="M79" s="1"/>
      <c r="N79" s="1"/>
      <c r="O79" s="1"/>
      <c r="P79" s="1"/>
      <c r="Q79" s="4"/>
      <c r="R79" s="4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0.10273556682691801</v>
      </c>
      <c r="G80" s="103"/>
      <c r="H80" s="101"/>
      <c r="I80" s="10"/>
      <c r="J80" s="1"/>
      <c r="K80" s="4"/>
      <c r="L80" s="1"/>
      <c r="M80" s="1"/>
      <c r="N80" s="1"/>
      <c r="O80" s="1"/>
      <c r="P80" s="1"/>
      <c r="Q80" s="4"/>
      <c r="R80" s="4"/>
      <c r="S80" s="1"/>
    </row>
    <row r="81" spans="2:19">
      <c r="B81" s="1"/>
      <c r="C81" s="73" t="str">
        <f>S124</f>
        <v xml:space="preserve">   FCR less Depreciation  (True-Up TCOS, ln 12)</v>
      </c>
      <c r="D81" s="2"/>
      <c r="E81" s="1"/>
      <c r="F81" s="104">
        <f>R124</f>
        <v>0.10273556682691798</v>
      </c>
      <c r="G81" s="104"/>
      <c r="H81" s="200"/>
      <c r="I81" s="10"/>
      <c r="J81" s="1"/>
      <c r="K81" s="4"/>
      <c r="L81" s="1"/>
      <c r="M81" s="1"/>
      <c r="N81" s="1"/>
      <c r="O81" s="1"/>
      <c r="P81" s="1"/>
      <c r="Q81" s="4"/>
      <c r="R81" s="4"/>
      <c r="S81" s="1"/>
    </row>
    <row r="82" spans="2:19">
      <c r="B82" s="1"/>
      <c r="C82" s="22" t="str">
        <f>"   Incremental FCR with "&amp;F13&amp;" Basis Point ROE increase, less Depreciation"</f>
        <v xml:space="preserve">   Incremental FCR with 0 Basis Point ROE increase, less Depreciation</v>
      </c>
      <c r="D82" s="2"/>
      <c r="E82" s="1"/>
      <c r="F82" s="103">
        <f>F80-F81</f>
        <v>0</v>
      </c>
      <c r="G82" s="103"/>
      <c r="I82" s="10"/>
      <c r="J82" s="1"/>
      <c r="K82" s="4"/>
      <c r="L82" s="1"/>
      <c r="M82" s="1"/>
      <c r="N82" s="1"/>
      <c r="O82" s="1"/>
      <c r="P82" s="1"/>
      <c r="Q82" s="4"/>
      <c r="R82" s="4"/>
      <c r="S82" s="1"/>
    </row>
    <row r="83" spans="2:19">
      <c r="B83" s="1"/>
      <c r="C83" s="22"/>
      <c r="D83" s="2"/>
      <c r="E83" s="1"/>
      <c r="F83" s="103"/>
      <c r="G83" s="103"/>
      <c r="H83" s="1"/>
      <c r="I83" s="3"/>
      <c r="J83" s="1"/>
      <c r="K83" s="4"/>
      <c r="L83" s="1"/>
      <c r="M83" s="1"/>
      <c r="N83" s="1"/>
      <c r="O83" s="1"/>
      <c r="P83" s="1"/>
      <c r="Q83" s="4"/>
      <c r="R83" s="4"/>
      <c r="S83" s="1"/>
    </row>
    <row r="84" spans="2:19" ht="18.75">
      <c r="B84" s="5" t="s">
        <v>35</v>
      </c>
      <c r="C84" s="71" t="s">
        <v>36</v>
      </c>
      <c r="D84" s="2"/>
      <c r="E84" s="1"/>
      <c r="F84" s="103"/>
      <c r="G84" s="103"/>
      <c r="H84" s="1"/>
      <c r="I84" s="3"/>
      <c r="J84" s="1"/>
      <c r="K84" s="4"/>
      <c r="L84" s="1"/>
      <c r="M84" s="1"/>
      <c r="N84" s="1"/>
      <c r="O84" s="1"/>
      <c r="P84" s="1"/>
      <c r="Q84" s="4"/>
      <c r="R84" s="4"/>
      <c r="S84" s="1"/>
    </row>
    <row r="85" spans="2:19" ht="12.75" customHeight="1">
      <c r="B85" s="5"/>
      <c r="C85" s="71"/>
      <c r="D85" s="2"/>
      <c r="E85" s="1"/>
      <c r="F85" s="103"/>
      <c r="G85" s="103"/>
      <c r="H85" s="1"/>
      <c r="I85" s="3"/>
      <c r="J85" s="1"/>
      <c r="K85" s="4"/>
      <c r="L85" s="1"/>
      <c r="M85" s="1"/>
      <c r="N85" s="1"/>
      <c r="O85" s="1"/>
      <c r="P85" s="1"/>
      <c r="Q85" s="4"/>
      <c r="R85" s="4"/>
      <c r="S85" s="1"/>
    </row>
    <row r="86" spans="2:19" ht="12.75" customHeight="1">
      <c r="B86" s="5"/>
      <c r="C86" s="22" t="s">
        <v>37</v>
      </c>
      <c r="D86" s="2"/>
      <c r="F86" s="97">
        <f>R125</f>
        <v>858822495</v>
      </c>
      <c r="G86" s="1" t="s">
        <v>283</v>
      </c>
      <c r="I86" s="3"/>
      <c r="J86" s="1"/>
      <c r="K86" s="4"/>
      <c r="L86" s="1"/>
      <c r="M86" s="1"/>
      <c r="N86" s="1"/>
      <c r="O86" s="1"/>
      <c r="P86" s="1"/>
      <c r="Q86" s="4"/>
      <c r="R86" s="4"/>
      <c r="S86" s="1"/>
    </row>
    <row r="87" spans="2:19" ht="12.75" customHeight="1">
      <c r="B87" s="5"/>
      <c r="C87" s="22" t="s">
        <v>38</v>
      </c>
      <c r="D87" s="2"/>
      <c r="F87" s="106">
        <f>R126</f>
        <v>892407778</v>
      </c>
      <c r="G87" s="1" t="s">
        <v>283</v>
      </c>
      <c r="I87" s="3"/>
      <c r="J87" s="1"/>
      <c r="K87" s="4"/>
      <c r="L87" s="1"/>
      <c r="M87" s="1"/>
      <c r="N87" s="1"/>
      <c r="O87" s="1"/>
      <c r="P87" s="1"/>
      <c r="Q87" s="4"/>
      <c r="R87" s="4"/>
      <c r="S87" s="1"/>
    </row>
    <row r="88" spans="2:19" ht="12.75" customHeight="1">
      <c r="B88" s="5"/>
      <c r="C88" s="22"/>
      <c r="D88" s="2"/>
      <c r="F88" s="3">
        <f>+F87+F86</f>
        <v>1751230273</v>
      </c>
      <c r="G88" s="3"/>
      <c r="H88" s="1"/>
      <c r="I88" s="3"/>
      <c r="J88" s="1"/>
      <c r="K88" s="4"/>
      <c r="L88" s="1"/>
      <c r="M88" s="1"/>
      <c r="N88" s="1"/>
      <c r="O88" s="1"/>
      <c r="P88" s="1"/>
      <c r="Q88" s="4"/>
      <c r="R88" s="4"/>
      <c r="S88" s="1"/>
    </row>
    <row r="89" spans="2:19">
      <c r="B89" s="1"/>
      <c r="C89" s="22" t="str">
        <f>+S127</f>
        <v>Transmission Plant Average Balance for 2018</v>
      </c>
      <c r="D89" s="62"/>
      <c r="E89" s="107"/>
      <c r="F89" s="88">
        <f>+F88/2</f>
        <v>875615136.5</v>
      </c>
      <c r="G89" s="88"/>
      <c r="I89" s="3"/>
      <c r="J89" s="1"/>
      <c r="K89" s="4"/>
      <c r="L89" s="1"/>
      <c r="M89" s="1"/>
      <c r="N89" s="1"/>
      <c r="O89" s="1"/>
      <c r="P89" s="1"/>
      <c r="Q89" s="4"/>
      <c r="R89" s="4"/>
      <c r="S89" s="1"/>
    </row>
    <row r="90" spans="2:19">
      <c r="B90" s="1"/>
      <c r="C90" s="11" t="str">
        <f>S128</f>
        <v>Annual Depreciation Expense  (True-Up TCOS, ln 82)</v>
      </c>
      <c r="D90" s="62"/>
      <c r="E90" s="18"/>
      <c r="F90" s="88">
        <f>R128</f>
        <v>20436310</v>
      </c>
      <c r="G90" s="88"/>
      <c r="I90" s="3"/>
      <c r="J90" s="1"/>
      <c r="K90" s="4"/>
      <c r="L90" s="1"/>
      <c r="M90" s="1"/>
      <c r="N90" s="1"/>
      <c r="O90" s="1"/>
      <c r="P90" s="1"/>
      <c r="Q90" s="4"/>
      <c r="R90" s="4"/>
      <c r="S90" s="1"/>
    </row>
    <row r="91" spans="2:19">
      <c r="B91" s="1"/>
      <c r="C91" s="22" t="s">
        <v>39</v>
      </c>
      <c r="D91" s="2"/>
      <c r="E91" s="1"/>
      <c r="F91" s="103">
        <f>IF(F89=0,0,F90/F89)</f>
        <v>2.3339374969793023E-2</v>
      </c>
      <c r="G91" s="103"/>
      <c r="H91" s="1"/>
      <c r="I91" s="109"/>
      <c r="J91" s="1"/>
      <c r="K91" s="4"/>
      <c r="L91" s="1"/>
      <c r="M91" s="1"/>
      <c r="N91" s="1"/>
      <c r="O91" s="1"/>
      <c r="P91" s="1"/>
      <c r="Q91" s="4"/>
      <c r="R91" s="4"/>
      <c r="S91" s="1"/>
    </row>
    <row r="92" spans="2:19">
      <c r="B92" s="1"/>
      <c r="C92" s="22" t="s">
        <v>40</v>
      </c>
      <c r="D92" s="2"/>
      <c r="E92" s="1"/>
      <c r="F92" s="110">
        <f>IF(F91=0,0,1/F91)</f>
        <v>42.84604884639154</v>
      </c>
      <c r="G92" s="110"/>
      <c r="H92" s="1"/>
      <c r="I92" s="3"/>
      <c r="J92" s="1"/>
      <c r="K92" s="4"/>
      <c r="L92" s="1"/>
      <c r="M92" s="1"/>
      <c r="N92" s="1"/>
      <c r="O92" s="1"/>
      <c r="P92" s="1"/>
      <c r="Q92" s="4"/>
      <c r="R92" s="4"/>
      <c r="S92" s="1"/>
    </row>
    <row r="93" spans="2:19">
      <c r="B93" s="1"/>
      <c r="C93" s="22" t="s">
        <v>41</v>
      </c>
      <c r="D93" s="2"/>
      <c r="E93" s="1"/>
      <c r="F93" s="111">
        <f>ROUND(F92,0)</f>
        <v>43</v>
      </c>
      <c r="G93" s="111"/>
      <c r="H93" s="1"/>
      <c r="I93" s="3"/>
      <c r="J93" s="1"/>
      <c r="K93" s="4"/>
      <c r="L93" s="1"/>
      <c r="M93" s="1"/>
      <c r="N93" s="1"/>
      <c r="O93" s="1"/>
      <c r="P93" s="1"/>
      <c r="Q93" s="4"/>
      <c r="R93" s="4"/>
      <c r="S93" s="1"/>
    </row>
    <row r="94" spans="2:19">
      <c r="B94" s="1"/>
      <c r="C94" s="22"/>
      <c r="D94" s="2"/>
      <c r="E94" s="1"/>
      <c r="F94" s="111"/>
      <c r="G94" s="111"/>
      <c r="H94" s="1"/>
      <c r="I94" s="3"/>
      <c r="J94" s="1"/>
      <c r="K94" s="4"/>
      <c r="L94" s="1"/>
      <c r="M94" s="1"/>
      <c r="N94" s="1"/>
      <c r="O94" s="1"/>
      <c r="P94" s="1"/>
      <c r="Q94" s="4"/>
      <c r="R94" s="4"/>
      <c r="S94" s="1"/>
    </row>
    <row r="95" spans="2:19">
      <c r="B95" s="1"/>
      <c r="C95" s="22"/>
      <c r="D95" s="2"/>
      <c r="E95" s="1"/>
      <c r="F95" s="111"/>
      <c r="G95" s="111"/>
      <c r="H95" s="1"/>
      <c r="I95" s="3"/>
      <c r="J95" s="1"/>
      <c r="K95" s="4"/>
      <c r="L95" s="1"/>
      <c r="M95" s="1"/>
      <c r="N95" s="1"/>
      <c r="O95" s="1"/>
      <c r="P95" s="1"/>
      <c r="Q95" s="4"/>
      <c r="R95" s="4"/>
      <c r="S95" s="1"/>
    </row>
    <row r="96" spans="2:19">
      <c r="B96" s="1"/>
      <c r="C96" s="22"/>
      <c r="D96" s="2"/>
      <c r="E96" s="1"/>
      <c r="F96" s="111"/>
      <c r="G96" s="111"/>
      <c r="H96" s="1"/>
      <c r="I96" s="3"/>
      <c r="J96" s="1"/>
      <c r="K96" s="4"/>
      <c r="L96" s="1"/>
      <c r="M96" s="1"/>
      <c r="N96" s="1"/>
      <c r="O96" s="1"/>
      <c r="P96" s="1"/>
      <c r="Q96" s="4"/>
      <c r="R96" s="4"/>
      <c r="S96" s="1"/>
    </row>
    <row r="97" spans="3:19">
      <c r="C97" s="1"/>
      <c r="D97" s="2"/>
      <c r="E97" s="1"/>
      <c r="F97" s="1"/>
      <c r="G97" s="1"/>
      <c r="H97" s="1"/>
      <c r="I97" s="3"/>
      <c r="J97" s="1"/>
      <c r="K97" s="4"/>
      <c r="L97" s="1"/>
      <c r="M97" s="1"/>
      <c r="N97" s="1"/>
      <c r="O97" s="1"/>
      <c r="P97" s="1"/>
      <c r="Q97" s="4"/>
      <c r="R97" s="233" t="s">
        <v>126</v>
      </c>
      <c r="S97" s="232" t="s">
        <v>132</v>
      </c>
    </row>
    <row r="98" spans="3:19">
      <c r="C98" s="1"/>
      <c r="D98" s="2"/>
      <c r="E98" s="1"/>
      <c r="F98" s="1"/>
      <c r="G98" s="1"/>
      <c r="H98" s="1"/>
      <c r="I98" s="3"/>
      <c r="J98" s="1"/>
      <c r="K98" s="4"/>
      <c r="L98" s="1"/>
      <c r="M98" s="1"/>
      <c r="N98" s="1"/>
      <c r="O98" s="1"/>
      <c r="P98" s="1"/>
      <c r="Q98" s="4"/>
    </row>
    <row r="99" spans="3:19">
      <c r="C99" s="240" t="s">
        <v>122</v>
      </c>
      <c r="J99" s="7"/>
      <c r="L99" s="240" t="s">
        <v>121</v>
      </c>
      <c r="N99" s="1"/>
      <c r="O99" s="1"/>
      <c r="P99" s="1"/>
      <c r="Q99" s="4"/>
    </row>
    <row r="100" spans="3:19">
      <c r="C100" s="1"/>
      <c r="D100" s="2"/>
      <c r="E100" s="1"/>
      <c r="F100" s="1"/>
      <c r="G100" s="1"/>
      <c r="H100" s="1"/>
      <c r="I100" s="3"/>
      <c r="J100" s="1"/>
      <c r="K100" s="4"/>
      <c r="L100" s="1"/>
      <c r="M100" s="1"/>
      <c r="N100" s="1"/>
      <c r="O100" s="1"/>
      <c r="P100" s="1"/>
      <c r="Q100" s="4"/>
      <c r="S100" s="232" t="s">
        <v>119</v>
      </c>
    </row>
    <row r="101" spans="3:19">
      <c r="C101" s="1"/>
      <c r="D101" s="2"/>
      <c r="E101" s="1"/>
      <c r="F101" s="1"/>
      <c r="G101" s="1"/>
      <c r="H101" s="1"/>
      <c r="I101" s="3"/>
      <c r="J101" s="1"/>
      <c r="K101" s="4"/>
      <c r="L101" s="1"/>
      <c r="M101" s="1"/>
      <c r="N101" s="1"/>
      <c r="O101" s="1"/>
      <c r="P101" s="1"/>
      <c r="Q101" s="4"/>
      <c r="R101" s="233" t="s">
        <v>115</v>
      </c>
      <c r="S101" s="236" t="s">
        <v>135</v>
      </c>
    </row>
    <row r="102" spans="3:19" ht="13.5" thickBot="1">
      <c r="C102" s="1"/>
      <c r="D102" s="2"/>
      <c r="E102" s="1"/>
      <c r="F102" s="1"/>
      <c r="G102" s="1"/>
      <c r="H102" s="1"/>
      <c r="I102" s="3"/>
      <c r="J102" s="1"/>
      <c r="K102" s="4"/>
      <c r="L102" s="1"/>
      <c r="M102" s="1"/>
      <c r="N102" s="1"/>
      <c r="O102" s="1"/>
      <c r="P102" s="1"/>
      <c r="Q102" s="4"/>
      <c r="R102" s="235" t="s">
        <v>227</v>
      </c>
    </row>
    <row r="103" spans="3:19">
      <c r="C103" s="1"/>
      <c r="D103" s="2"/>
      <c r="E103" s="1"/>
      <c r="F103" s="1"/>
      <c r="G103" s="1"/>
      <c r="H103" s="1"/>
      <c r="I103" s="3"/>
      <c r="J103" s="1"/>
      <c r="K103" s="4"/>
      <c r="L103" s="1"/>
      <c r="M103" s="1"/>
      <c r="N103" s="1"/>
      <c r="O103" s="1"/>
      <c r="P103" s="1"/>
      <c r="Q103" s="4"/>
      <c r="R103" s="456" t="s">
        <v>212</v>
      </c>
      <c r="S103" s="455" t="s">
        <v>143</v>
      </c>
    </row>
    <row r="104" spans="3:19">
      <c r="C104" s="1"/>
      <c r="D104" s="2"/>
      <c r="E104" s="1"/>
      <c r="F104" s="1"/>
      <c r="G104" s="1"/>
      <c r="H104" s="1"/>
      <c r="I104" s="3"/>
      <c r="J104" s="1"/>
      <c r="K104" s="4"/>
      <c r="L104" s="1"/>
      <c r="M104" s="1"/>
      <c r="N104" s="1"/>
      <c r="O104" s="1"/>
      <c r="P104" s="1"/>
      <c r="Q104" s="4"/>
      <c r="R104" s="457">
        <v>2018</v>
      </c>
      <c r="S104" s="39" t="s">
        <v>94</v>
      </c>
    </row>
    <row r="105" spans="3:19">
      <c r="C105" s="1"/>
      <c r="D105" s="2"/>
      <c r="E105" s="1"/>
      <c r="F105" s="1"/>
      <c r="G105" s="1"/>
      <c r="H105" s="1"/>
      <c r="I105" s="3"/>
      <c r="J105" s="1"/>
      <c r="K105" s="4"/>
      <c r="L105" s="1"/>
      <c r="M105" s="1"/>
      <c r="N105" s="1"/>
      <c r="O105" s="1"/>
      <c r="P105" s="1"/>
      <c r="Q105" s="4"/>
      <c r="R105" s="440">
        <v>0.105</v>
      </c>
      <c r="S105" s="439" t="s">
        <v>315</v>
      </c>
    </row>
    <row r="106" spans="3:19">
      <c r="C106" s="1"/>
      <c r="D106" s="2"/>
      <c r="E106" s="1"/>
      <c r="F106" s="1"/>
      <c r="G106" s="1"/>
      <c r="H106" s="1"/>
      <c r="I106" s="3"/>
      <c r="J106" s="1"/>
      <c r="K106" s="4"/>
      <c r="L106" s="1"/>
      <c r="M106" s="1"/>
      <c r="N106" s="1"/>
      <c r="O106" s="1"/>
      <c r="P106" s="1"/>
      <c r="Q106" s="4"/>
      <c r="R106" s="454">
        <v>0</v>
      </c>
      <c r="S106" s="439" t="s">
        <v>1</v>
      </c>
    </row>
    <row r="107" spans="3:19">
      <c r="C107" s="1"/>
      <c r="D107" s="2"/>
      <c r="E107" s="1"/>
      <c r="F107" s="1"/>
      <c r="G107" s="1"/>
      <c r="H107" s="1"/>
      <c r="I107" s="3"/>
      <c r="J107" s="1"/>
      <c r="K107" s="4"/>
      <c r="L107" s="1"/>
      <c r="M107" s="1"/>
      <c r="N107" s="1"/>
      <c r="O107" s="1"/>
      <c r="P107" s="1"/>
      <c r="Q107" s="4"/>
      <c r="R107" s="440">
        <v>0.51250191622016406</v>
      </c>
      <c r="S107" s="437" t="s">
        <v>109</v>
      </c>
    </row>
    <row r="108" spans="3:19">
      <c r="C108" s="1"/>
      <c r="D108" s="2"/>
      <c r="E108" s="1"/>
      <c r="F108" s="1"/>
      <c r="G108" s="1"/>
      <c r="H108" s="1"/>
      <c r="I108" s="3"/>
      <c r="J108" s="1"/>
      <c r="K108" s="4"/>
      <c r="L108" s="1"/>
      <c r="M108" s="1"/>
      <c r="N108" s="1"/>
      <c r="O108" s="1"/>
      <c r="P108" s="1"/>
      <c r="Q108" s="4"/>
      <c r="R108" s="441">
        <v>4.6781018729819407E-2</v>
      </c>
      <c r="S108" s="437" t="s">
        <v>110</v>
      </c>
    </row>
    <row r="109" spans="3:19">
      <c r="C109" s="1"/>
      <c r="D109" s="2"/>
      <c r="E109" s="1"/>
      <c r="F109" s="1"/>
      <c r="G109" s="1"/>
      <c r="H109" s="1"/>
      <c r="I109" s="3"/>
      <c r="J109" s="1"/>
      <c r="K109" s="4"/>
      <c r="L109" s="1"/>
      <c r="M109" s="1"/>
      <c r="N109" s="1"/>
      <c r="O109" s="1"/>
      <c r="P109" s="1"/>
      <c r="Q109" s="4"/>
      <c r="R109" s="440">
        <v>0</v>
      </c>
      <c r="S109" s="437" t="s">
        <v>111</v>
      </c>
    </row>
    <row r="110" spans="3:19">
      <c r="C110" s="1"/>
      <c r="D110" s="2"/>
      <c r="E110" s="1"/>
      <c r="F110" s="1"/>
      <c r="G110" s="1"/>
      <c r="H110" s="1"/>
      <c r="I110" s="3"/>
      <c r="J110" s="1"/>
      <c r="K110" s="4"/>
      <c r="L110" s="1"/>
      <c r="M110" s="1"/>
      <c r="N110" s="1"/>
      <c r="O110" s="1"/>
      <c r="P110" s="1"/>
      <c r="Q110" s="4"/>
      <c r="R110" s="441">
        <v>0</v>
      </c>
      <c r="S110" s="437" t="s">
        <v>112</v>
      </c>
    </row>
    <row r="111" spans="3:19">
      <c r="C111" s="1"/>
      <c r="D111" s="2"/>
      <c r="E111" s="1"/>
      <c r="F111" s="1"/>
      <c r="G111" s="1"/>
      <c r="H111" s="1"/>
      <c r="I111" s="3"/>
      <c r="J111" s="1"/>
      <c r="K111" s="4"/>
      <c r="L111" s="1"/>
      <c r="M111" s="1"/>
      <c r="N111" s="1"/>
      <c r="O111" s="1"/>
      <c r="P111" s="1"/>
      <c r="Q111" s="4"/>
      <c r="R111" s="440">
        <v>0.48749808377983594</v>
      </c>
      <c r="S111" s="438" t="s">
        <v>113</v>
      </c>
    </row>
    <row r="112" spans="3:19">
      <c r="C112" s="1"/>
      <c r="D112" s="2"/>
      <c r="E112" s="1"/>
      <c r="F112" s="1"/>
      <c r="G112" s="1"/>
      <c r="H112" s="1"/>
      <c r="I112" s="3"/>
      <c r="J112" s="1"/>
      <c r="K112" s="4"/>
      <c r="L112" s="1"/>
      <c r="M112" s="1"/>
      <c r="N112" s="1"/>
      <c r="O112" s="1"/>
      <c r="P112" s="1"/>
      <c r="Q112" s="4"/>
      <c r="R112" s="442">
        <v>453618577.73124564</v>
      </c>
      <c r="S112" s="446" t="s">
        <v>232</v>
      </c>
    </row>
    <row r="113" spans="3:19">
      <c r="C113" s="1"/>
      <c r="D113" s="2"/>
      <c r="E113" s="1"/>
      <c r="F113" s="1"/>
      <c r="G113" s="1"/>
      <c r="H113" s="1"/>
      <c r="I113" s="3"/>
      <c r="J113" s="1"/>
      <c r="K113" s="4"/>
      <c r="L113" s="1"/>
      <c r="M113" s="1"/>
      <c r="N113" s="1"/>
      <c r="O113" s="1"/>
      <c r="P113" s="1"/>
      <c r="Q113" s="4"/>
      <c r="R113" s="443">
        <v>0.2533709999999999</v>
      </c>
      <c r="S113" s="447" t="s">
        <v>316</v>
      </c>
    </row>
    <row r="114" spans="3:19">
      <c r="C114" s="1"/>
      <c r="D114" s="2"/>
      <c r="E114" s="1"/>
      <c r="F114" s="1"/>
      <c r="G114" s="1"/>
      <c r="H114" s="1"/>
      <c r="I114" s="3"/>
      <c r="J114" s="1"/>
      <c r="K114" s="4"/>
      <c r="L114" s="1"/>
      <c r="M114" s="1"/>
      <c r="N114" s="1"/>
      <c r="O114" s="1"/>
      <c r="P114" s="1"/>
      <c r="Q114" s="4"/>
      <c r="R114" s="442">
        <v>-435087.55511327944</v>
      </c>
      <c r="S114" s="447" t="s">
        <v>317</v>
      </c>
    </row>
    <row r="115" spans="3:19">
      <c r="C115" s="1"/>
      <c r="D115" s="2"/>
      <c r="E115" s="1"/>
      <c r="F115" s="1"/>
      <c r="G115" s="1"/>
      <c r="H115" s="1"/>
      <c r="I115" s="3"/>
      <c r="J115" s="1"/>
      <c r="K115" s="4"/>
      <c r="L115" s="1"/>
      <c r="M115" s="1"/>
      <c r="N115" s="1"/>
      <c r="O115" s="1"/>
      <c r="P115" s="1"/>
      <c r="Q115" s="4"/>
      <c r="R115" s="442">
        <v>-4933248.5076256059</v>
      </c>
      <c r="S115" s="459" t="s">
        <v>329</v>
      </c>
    </row>
    <row r="116" spans="3:19">
      <c r="C116" s="1"/>
      <c r="D116" s="2"/>
      <c r="E116" s="1"/>
      <c r="F116" s="1"/>
      <c r="G116" s="1"/>
      <c r="H116" s="1"/>
      <c r="I116" s="3"/>
      <c r="J116" s="1"/>
      <c r="K116" s="4"/>
      <c r="L116" s="1"/>
      <c r="M116" s="1"/>
      <c r="N116" s="1"/>
      <c r="O116" s="1"/>
      <c r="P116" s="1"/>
      <c r="Q116" s="4"/>
      <c r="R116" s="442">
        <v>78753.972856666413</v>
      </c>
      <c r="S116" s="459" t="s">
        <v>330</v>
      </c>
    </row>
    <row r="117" spans="3:19">
      <c r="C117" s="1"/>
      <c r="D117" s="2"/>
      <c r="E117" s="1"/>
      <c r="F117" s="1"/>
      <c r="G117" s="1"/>
      <c r="H117" s="1"/>
      <c r="I117" s="3"/>
      <c r="J117" s="1"/>
      <c r="K117" s="4"/>
      <c r="L117" s="1"/>
      <c r="M117" s="1"/>
      <c r="N117" s="1"/>
      <c r="O117" s="1"/>
      <c r="P117" s="1"/>
      <c r="Q117" s="4"/>
      <c r="R117" s="442">
        <v>82496506.965986535</v>
      </c>
      <c r="S117" s="447" t="s">
        <v>318</v>
      </c>
    </row>
    <row r="118" spans="3:19">
      <c r="C118" s="1"/>
      <c r="D118" s="2"/>
      <c r="E118" s="1"/>
      <c r="F118" s="1"/>
      <c r="G118" s="1"/>
      <c r="H118" s="1"/>
      <c r="I118" s="3"/>
      <c r="J118" s="1"/>
      <c r="K118" s="4"/>
      <c r="L118" s="1"/>
      <c r="M118" s="1"/>
      <c r="N118" s="1"/>
      <c r="O118" s="1"/>
      <c r="P118" s="1"/>
      <c r="Q118" s="4"/>
      <c r="R118" s="442">
        <v>34095179.172037296</v>
      </c>
      <c r="S118" s="447" t="s">
        <v>319</v>
      </c>
    </row>
    <row r="119" spans="3:19">
      <c r="C119" s="1"/>
      <c r="D119" s="2"/>
      <c r="E119" s="1"/>
      <c r="F119" s="1"/>
      <c r="G119" s="1"/>
      <c r="H119" s="1"/>
      <c r="I119" s="3"/>
      <c r="J119" s="1"/>
      <c r="K119" s="4"/>
      <c r="L119" s="1"/>
      <c r="M119" s="1"/>
      <c r="N119" s="1"/>
      <c r="O119" s="1"/>
      <c r="P119" s="1"/>
      <c r="Q119" s="4"/>
      <c r="R119" s="442">
        <v>2590034.6764925071</v>
      </c>
      <c r="S119" s="447" t="s">
        <v>320</v>
      </c>
    </row>
    <row r="120" spans="3:19">
      <c r="C120" s="1"/>
      <c r="D120" s="2"/>
      <c r="E120" s="1"/>
      <c r="F120" s="1"/>
      <c r="G120" s="1"/>
      <c r="H120" s="1"/>
      <c r="I120" s="3"/>
      <c r="J120" s="1"/>
      <c r="K120" s="4"/>
      <c r="L120" s="1"/>
      <c r="M120" s="1"/>
      <c r="N120" s="1"/>
      <c r="O120" s="1"/>
      <c r="P120" s="1"/>
      <c r="Q120" s="4"/>
      <c r="R120" s="442">
        <v>0</v>
      </c>
      <c r="S120" s="447" t="s">
        <v>321</v>
      </c>
    </row>
    <row r="121" spans="3:19">
      <c r="C121" s="1"/>
      <c r="D121" s="2"/>
      <c r="E121" s="1"/>
      <c r="F121" s="1"/>
      <c r="G121" s="1"/>
      <c r="H121" s="1"/>
      <c r="I121" s="3"/>
      <c r="J121" s="1"/>
      <c r="K121" s="4"/>
      <c r="L121" s="1"/>
      <c r="M121" s="1"/>
      <c r="N121" s="1"/>
      <c r="O121" s="1"/>
      <c r="P121" s="1"/>
      <c r="Q121" s="4"/>
      <c r="R121" s="442">
        <v>18733043.911233526</v>
      </c>
      <c r="S121" s="447" t="s">
        <v>322</v>
      </c>
    </row>
    <row r="122" spans="3:19">
      <c r="C122" s="1"/>
      <c r="D122" s="2"/>
      <c r="E122" s="1"/>
      <c r="F122" s="1"/>
      <c r="G122" s="1"/>
      <c r="H122" s="1"/>
      <c r="I122" s="3"/>
      <c r="J122" s="1"/>
      <c r="K122" s="4"/>
      <c r="L122" s="1"/>
      <c r="M122" s="1"/>
      <c r="N122" s="1"/>
      <c r="O122" s="1"/>
      <c r="P122" s="1"/>
      <c r="Q122" s="4"/>
      <c r="R122" s="443">
        <v>0</v>
      </c>
      <c r="S122" s="447" t="s">
        <v>118</v>
      </c>
    </row>
    <row r="123" spans="3:19">
      <c r="C123" s="1"/>
      <c r="D123" s="2"/>
      <c r="E123" s="1"/>
      <c r="F123" s="1"/>
      <c r="G123" s="1"/>
      <c r="H123" s="1"/>
      <c r="I123" s="3"/>
      <c r="J123" s="1"/>
      <c r="K123" s="4"/>
      <c r="L123" s="1"/>
      <c r="M123" s="1"/>
      <c r="N123" s="1"/>
      <c r="O123" s="1"/>
      <c r="P123" s="1"/>
      <c r="Q123" s="4"/>
      <c r="R123" s="442">
        <v>620656166.35159492</v>
      </c>
      <c r="S123" s="447" t="s">
        <v>233</v>
      </c>
    </row>
    <row r="124" spans="3:19">
      <c r="C124" s="1"/>
      <c r="D124" s="2"/>
      <c r="E124" s="1"/>
      <c r="F124" s="1"/>
      <c r="G124" s="1"/>
      <c r="H124" s="1"/>
      <c r="I124" s="3"/>
      <c r="J124" s="1"/>
      <c r="K124" s="4"/>
      <c r="L124" s="1"/>
      <c r="M124" s="1"/>
      <c r="N124" s="1"/>
      <c r="O124" s="1"/>
      <c r="P124" s="1"/>
      <c r="Q124" s="4"/>
      <c r="R124" s="443">
        <v>0.10273556682691798</v>
      </c>
      <c r="S124" s="448" t="s">
        <v>234</v>
      </c>
    </row>
    <row r="125" spans="3:19">
      <c r="C125" s="1"/>
      <c r="D125" s="2"/>
      <c r="E125" s="1"/>
      <c r="F125" s="1"/>
      <c r="G125" s="1"/>
      <c r="H125" s="1"/>
      <c r="I125" s="3"/>
      <c r="J125" s="1"/>
      <c r="K125" s="4"/>
      <c r="L125" s="1"/>
      <c r="M125" s="1"/>
      <c r="N125" s="1"/>
      <c r="O125" s="1"/>
      <c r="P125" s="1"/>
      <c r="Q125" s="4"/>
      <c r="R125" s="444">
        <v>858822495</v>
      </c>
      <c r="S125" s="437" t="s">
        <v>37</v>
      </c>
    </row>
    <row r="126" spans="3:19">
      <c r="C126" s="1"/>
      <c r="D126" s="2"/>
      <c r="E126" s="1"/>
      <c r="F126" s="1"/>
      <c r="G126" s="1"/>
      <c r="H126" s="1"/>
      <c r="I126" s="3"/>
      <c r="J126" s="1"/>
      <c r="K126" s="4"/>
      <c r="L126" s="1"/>
      <c r="M126" s="1"/>
      <c r="N126" s="1"/>
      <c r="O126" s="1"/>
      <c r="P126" s="1"/>
      <c r="Q126" s="4"/>
      <c r="R126" s="445">
        <v>892407778</v>
      </c>
      <c r="S126" s="438" t="s">
        <v>38</v>
      </c>
    </row>
    <row r="127" spans="3:19">
      <c r="C127" s="1"/>
      <c r="D127" s="2"/>
      <c r="E127" s="1"/>
      <c r="F127" s="1"/>
      <c r="G127" s="1"/>
      <c r="H127" s="1"/>
      <c r="I127" s="3"/>
      <c r="J127" s="1"/>
      <c r="K127" s="4"/>
      <c r="L127" s="1"/>
      <c r="M127" s="1"/>
      <c r="N127" s="1"/>
      <c r="O127" s="1"/>
      <c r="P127" s="1"/>
      <c r="Q127" s="4"/>
      <c r="R127" s="445">
        <v>875615136.5</v>
      </c>
      <c r="S127" s="449" t="s">
        <v>328</v>
      </c>
    </row>
    <row r="128" spans="3:19" ht="13.5" thickBot="1">
      <c r="C128" s="1"/>
      <c r="D128" s="2"/>
      <c r="E128" s="1"/>
      <c r="F128" s="1"/>
      <c r="G128" s="1"/>
      <c r="H128" s="1"/>
      <c r="I128" s="3"/>
      <c r="J128" s="1"/>
      <c r="K128" s="4"/>
      <c r="L128" s="1"/>
      <c r="M128" s="1"/>
      <c r="N128" s="1"/>
      <c r="O128" s="1"/>
      <c r="P128" s="1"/>
      <c r="Q128" s="4"/>
      <c r="R128" s="451">
        <v>20436310</v>
      </c>
      <c r="S128" s="450" t="s">
        <v>323</v>
      </c>
    </row>
    <row r="129" spans="3:19">
      <c r="C129" s="1"/>
      <c r="D129" s="2"/>
      <c r="E129" s="1"/>
      <c r="F129" s="1"/>
      <c r="G129" s="1"/>
      <c r="H129" s="1"/>
      <c r="I129" s="3"/>
      <c r="J129" s="1"/>
      <c r="K129" s="4"/>
      <c r="L129" s="1"/>
      <c r="M129" s="1"/>
      <c r="N129" s="1"/>
      <c r="O129" s="1"/>
      <c r="P129" s="1"/>
      <c r="Q129" s="4"/>
      <c r="R129" s="1"/>
      <c r="S129" s="1"/>
    </row>
    <row r="130" spans="3:19">
      <c r="C130" s="1"/>
      <c r="D130" s="2"/>
      <c r="E130" s="1"/>
      <c r="F130" s="1"/>
      <c r="G130" s="1"/>
      <c r="H130" s="1"/>
      <c r="I130" s="3"/>
      <c r="J130" s="1"/>
      <c r="K130" s="4"/>
      <c r="L130" s="1"/>
      <c r="M130" s="1"/>
      <c r="N130" s="1"/>
      <c r="O130" s="1"/>
      <c r="P130" s="1"/>
      <c r="Q130" s="4"/>
      <c r="R130" s="233" t="s">
        <v>116</v>
      </c>
      <c r="S130" s="1" t="s">
        <v>130</v>
      </c>
    </row>
    <row r="131" spans="3:19" ht="13.5" thickBot="1">
      <c r="C131" s="1"/>
      <c r="D131" s="2"/>
      <c r="E131" s="1"/>
      <c r="F131" s="1"/>
      <c r="G131" s="1"/>
      <c r="H131" s="1"/>
      <c r="I131" s="3"/>
      <c r="J131" s="1"/>
      <c r="K131" s="4"/>
      <c r="L131" s="1"/>
      <c r="M131" s="1"/>
      <c r="N131" s="1"/>
      <c r="O131" s="1"/>
      <c r="P131" s="1"/>
      <c r="Q131" s="4"/>
      <c r="R131" s="235" t="s">
        <v>134</v>
      </c>
      <c r="S131" s="1"/>
    </row>
    <row r="132" spans="3:19">
      <c r="C132" s="1"/>
      <c r="D132" s="2"/>
      <c r="E132" s="1"/>
      <c r="F132" s="1"/>
      <c r="G132" s="1"/>
      <c r="H132" s="1"/>
      <c r="I132" s="3"/>
      <c r="J132" s="1"/>
      <c r="K132" s="4"/>
      <c r="L132" s="1"/>
      <c r="M132" s="1"/>
      <c r="N132" s="1"/>
      <c r="O132" s="1"/>
      <c r="P132" s="1"/>
      <c r="Q132" s="4"/>
      <c r="R132" s="237">
        <f>+N17</f>
        <v>7463959.3932195175</v>
      </c>
      <c r="S132" t="s">
        <v>136</v>
      </c>
    </row>
    <row r="133" spans="3:19">
      <c r="C133" s="1"/>
      <c r="D133" s="2"/>
      <c r="E133" s="1"/>
      <c r="F133" s="1"/>
      <c r="G133" s="1"/>
      <c r="H133" s="1"/>
      <c r="I133" s="3"/>
      <c r="J133" s="1"/>
      <c r="K133" s="4"/>
      <c r="L133" s="1"/>
      <c r="M133" s="1"/>
      <c r="N133" s="1"/>
      <c r="O133" s="1"/>
      <c r="P133" s="1"/>
      <c r="Q133" s="4"/>
      <c r="R133" s="238">
        <f>+O17</f>
        <v>7463959.3932195175</v>
      </c>
      <c r="S133" t="s">
        <v>137</v>
      </c>
    </row>
    <row r="134" spans="3:19">
      <c r="C134" s="1"/>
      <c r="D134" s="2"/>
      <c r="E134" s="1"/>
      <c r="F134" s="1"/>
      <c r="G134" s="1"/>
      <c r="H134" s="1"/>
      <c r="I134" s="3"/>
      <c r="J134" s="1"/>
      <c r="K134" s="4"/>
      <c r="L134" s="1"/>
      <c r="M134" s="1"/>
      <c r="N134" s="1"/>
      <c r="O134" s="1"/>
      <c r="P134" s="1"/>
      <c r="Q134" s="4"/>
      <c r="R134" s="242">
        <f>+N18</f>
        <v>5985111.4543428477</v>
      </c>
      <c r="S134" t="s">
        <v>138</v>
      </c>
    </row>
    <row r="135" spans="3:19" ht="13.5" thickBot="1">
      <c r="C135" s="1"/>
      <c r="D135" s="2"/>
      <c r="E135" s="1"/>
      <c r="F135" s="1"/>
      <c r="G135" s="1"/>
      <c r="H135" s="1"/>
      <c r="I135" s="3"/>
      <c r="J135" s="1"/>
      <c r="K135" s="4"/>
      <c r="L135" s="1"/>
      <c r="M135" s="1"/>
      <c r="N135" s="1"/>
      <c r="O135" s="1"/>
      <c r="P135" s="1"/>
      <c r="Q135" s="4"/>
      <c r="R135" s="239">
        <f>+O18</f>
        <v>5985111.4543428477</v>
      </c>
      <c r="S135" t="s">
        <v>139</v>
      </c>
    </row>
    <row r="136" spans="3:19" ht="12.75" customHeight="1">
      <c r="R136" s="1"/>
      <c r="S136" s="1"/>
    </row>
    <row r="137" spans="3:19" ht="12.75" customHeight="1">
      <c r="R137" s="233" t="s">
        <v>128</v>
      </c>
      <c r="S137" s="232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5" zoomScaleNormal="85" workbookViewId="0"/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27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0</v>
      </c>
      <c r="O6" s="1"/>
      <c r="P6" s="1"/>
    </row>
    <row r="7" spans="1:16" ht="13.5" thickBot="1">
      <c r="C7" s="127" t="s">
        <v>46</v>
      </c>
      <c r="D7" s="227" t="s">
        <v>108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/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/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4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2017</v>
      </c>
      <c r="D17" s="158">
        <v>0</v>
      </c>
      <c r="E17" s="159">
        <f>IF(D10&gt;=100000,I$14/12*(12-D12),0)</f>
        <v>0</v>
      </c>
      <c r="F17" s="163">
        <f>IF(D11=C17,+D10-E17,+D17-E17)</f>
        <v>0</v>
      </c>
      <c r="G17" s="159">
        <f>(D17+F17)/2*I$12+E17</f>
        <v>0</v>
      </c>
      <c r="H17" s="147">
        <f>+(D17+F17)/2*I$13+E17</f>
        <v>0</v>
      </c>
      <c r="I17" s="160">
        <f>H17-G17</f>
        <v>0</v>
      </c>
      <c r="J17" s="160"/>
      <c r="K17" s="332"/>
      <c r="L17" s="161">
        <f t="shared" ref="L17:L72" si="0">IF(K17&lt;&gt;0,+G17-K17,0)</f>
        <v>0</v>
      </c>
      <c r="M17" s="332"/>
      <c r="N17" s="161">
        <f t="shared" ref="N17:N72" si="1">IF(M17&lt;&gt;0,+H17-M17,0)</f>
        <v>0</v>
      </c>
      <c r="O17" s="162">
        <f t="shared" ref="O17:O72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166">
        <f>IF(F17+SUM(E$17:E17)=D$10,F17,D$10-SUM(E$17:E17))</f>
        <v>0</v>
      </c>
      <c r="E18" s="164">
        <f>IF(+I$14&lt;F17,I$14,D18)</f>
        <v>0</v>
      </c>
      <c r="F18" s="163">
        <f>+D18-E18</f>
        <v>0</v>
      </c>
      <c r="G18" s="165">
        <f>(D18+F18)/2*I$12+E18</f>
        <v>0</v>
      </c>
      <c r="H18" s="147">
        <f>+(D18+F18)/2*I$13+E18</f>
        <v>0</v>
      </c>
      <c r="I18" s="160">
        <f>H18-G18</f>
        <v>0</v>
      </c>
      <c r="J18" s="160"/>
      <c r="K18" s="330"/>
      <c r="L18" s="162">
        <f t="shared" si="0"/>
        <v>0</v>
      </c>
      <c r="M18" s="330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0</v>
      </c>
      <c r="E19" s="164">
        <f t="shared" ref="E19:E71" si="3">IF(+I$14&lt;F18,I$14,D19)</f>
        <v>0</v>
      </c>
      <c r="F19" s="163">
        <f t="shared" ref="F19:F71" si="4">+D19-E19</f>
        <v>0</v>
      </c>
      <c r="G19" s="165">
        <f t="shared" ref="G19:G71" si="5">(D19+F19)/2*I$12+E19</f>
        <v>0</v>
      </c>
      <c r="H19" s="147">
        <f t="shared" ref="H19:H71" si="6">+(D19+F19)/2*I$13+E19</f>
        <v>0</v>
      </c>
      <c r="I19" s="160">
        <f t="shared" ref="I19:I71" si="7">H19-G19</f>
        <v>0</v>
      </c>
      <c r="J19" s="160"/>
      <c r="K19" s="330"/>
      <c r="L19" s="162">
        <f t="shared" si="0"/>
        <v>0</v>
      </c>
      <c r="M19" s="330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0</v>
      </c>
      <c r="E20" s="164">
        <f t="shared" si="3"/>
        <v>0</v>
      </c>
      <c r="F20" s="163">
        <f t="shared" si="4"/>
        <v>0</v>
      </c>
      <c r="G20" s="165">
        <f t="shared" si="5"/>
        <v>0</v>
      </c>
      <c r="H20" s="147">
        <f t="shared" si="6"/>
        <v>0</v>
      </c>
      <c r="I20" s="160">
        <f t="shared" si="7"/>
        <v>0</v>
      </c>
      <c r="J20" s="160"/>
      <c r="K20" s="330"/>
      <c r="L20" s="162">
        <f t="shared" si="0"/>
        <v>0</v>
      </c>
      <c r="M20" s="330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0</v>
      </c>
      <c r="E21" s="164">
        <f t="shared" si="3"/>
        <v>0</v>
      </c>
      <c r="F21" s="163">
        <f t="shared" si="4"/>
        <v>0</v>
      </c>
      <c r="G21" s="165">
        <f t="shared" si="5"/>
        <v>0</v>
      </c>
      <c r="H21" s="147">
        <f t="shared" si="6"/>
        <v>0</v>
      </c>
      <c r="I21" s="160">
        <f t="shared" si="7"/>
        <v>0</v>
      </c>
      <c r="J21" s="160"/>
      <c r="K21" s="330"/>
      <c r="L21" s="162">
        <f t="shared" si="0"/>
        <v>0</v>
      </c>
      <c r="M21" s="330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0</v>
      </c>
      <c r="E22" s="164">
        <f t="shared" si="3"/>
        <v>0</v>
      </c>
      <c r="F22" s="163">
        <f t="shared" si="4"/>
        <v>0</v>
      </c>
      <c r="G22" s="165">
        <f t="shared" si="5"/>
        <v>0</v>
      </c>
      <c r="H22" s="147">
        <f t="shared" si="6"/>
        <v>0</v>
      </c>
      <c r="I22" s="160">
        <f t="shared" si="7"/>
        <v>0</v>
      </c>
      <c r="J22" s="160"/>
      <c r="K22" s="330"/>
      <c r="L22" s="162">
        <f t="shared" si="0"/>
        <v>0</v>
      </c>
      <c r="M22" s="330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0</v>
      </c>
      <c r="E23" s="164">
        <f t="shared" si="3"/>
        <v>0</v>
      </c>
      <c r="F23" s="163">
        <f t="shared" si="4"/>
        <v>0</v>
      </c>
      <c r="G23" s="165">
        <f t="shared" si="5"/>
        <v>0</v>
      </c>
      <c r="H23" s="147">
        <f t="shared" si="6"/>
        <v>0</v>
      </c>
      <c r="I23" s="160">
        <f t="shared" si="7"/>
        <v>0</v>
      </c>
      <c r="J23" s="160"/>
      <c r="K23" s="330"/>
      <c r="L23" s="162">
        <f t="shared" si="0"/>
        <v>0</v>
      </c>
      <c r="M23" s="330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0</v>
      </c>
      <c r="E24" s="164">
        <f t="shared" si="3"/>
        <v>0</v>
      </c>
      <c r="F24" s="163">
        <f t="shared" si="4"/>
        <v>0</v>
      </c>
      <c r="G24" s="165">
        <f t="shared" si="5"/>
        <v>0</v>
      </c>
      <c r="H24" s="147">
        <f t="shared" si="6"/>
        <v>0</v>
      </c>
      <c r="I24" s="160">
        <f t="shared" si="7"/>
        <v>0</v>
      </c>
      <c r="J24" s="160"/>
      <c r="K24" s="330"/>
      <c r="L24" s="162">
        <f t="shared" si="0"/>
        <v>0</v>
      </c>
      <c r="M24" s="330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0</v>
      </c>
      <c r="E25" s="164">
        <f t="shared" si="3"/>
        <v>0</v>
      </c>
      <c r="F25" s="163">
        <f t="shared" si="4"/>
        <v>0</v>
      </c>
      <c r="G25" s="165">
        <f t="shared" si="5"/>
        <v>0</v>
      </c>
      <c r="H25" s="147">
        <f t="shared" si="6"/>
        <v>0</v>
      </c>
      <c r="I25" s="160">
        <f t="shared" si="7"/>
        <v>0</v>
      </c>
      <c r="J25" s="160"/>
      <c r="K25" s="330"/>
      <c r="L25" s="162">
        <f t="shared" si="0"/>
        <v>0</v>
      </c>
      <c r="M25" s="330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0</v>
      </c>
      <c r="E26" s="164">
        <f t="shared" si="3"/>
        <v>0</v>
      </c>
      <c r="F26" s="163">
        <f t="shared" si="4"/>
        <v>0</v>
      </c>
      <c r="G26" s="165">
        <f t="shared" si="5"/>
        <v>0</v>
      </c>
      <c r="H26" s="147">
        <f t="shared" si="6"/>
        <v>0</v>
      </c>
      <c r="I26" s="160">
        <f t="shared" si="7"/>
        <v>0</v>
      </c>
      <c r="J26" s="160"/>
      <c r="K26" s="330"/>
      <c r="L26" s="162">
        <f t="shared" si="0"/>
        <v>0</v>
      </c>
      <c r="M26" s="330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0</v>
      </c>
      <c r="E27" s="164">
        <f t="shared" si="3"/>
        <v>0</v>
      </c>
      <c r="F27" s="163">
        <f t="shared" si="4"/>
        <v>0</v>
      </c>
      <c r="G27" s="165">
        <f t="shared" si="5"/>
        <v>0</v>
      </c>
      <c r="H27" s="147">
        <f t="shared" si="6"/>
        <v>0</v>
      </c>
      <c r="I27" s="160">
        <f t="shared" si="7"/>
        <v>0</v>
      </c>
      <c r="J27" s="160"/>
      <c r="K27" s="330"/>
      <c r="L27" s="162">
        <f t="shared" si="0"/>
        <v>0</v>
      </c>
      <c r="M27" s="330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0</v>
      </c>
      <c r="E28" s="164">
        <f t="shared" si="3"/>
        <v>0</v>
      </c>
      <c r="F28" s="163">
        <f t="shared" si="4"/>
        <v>0</v>
      </c>
      <c r="G28" s="165">
        <f t="shared" si="5"/>
        <v>0</v>
      </c>
      <c r="H28" s="147">
        <f t="shared" si="6"/>
        <v>0</v>
      </c>
      <c r="I28" s="160">
        <f t="shared" si="7"/>
        <v>0</v>
      </c>
      <c r="J28" s="160"/>
      <c r="K28" s="330"/>
      <c r="L28" s="162">
        <f t="shared" si="0"/>
        <v>0</v>
      </c>
      <c r="M28" s="330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0</v>
      </c>
      <c r="E29" s="164">
        <f t="shared" si="3"/>
        <v>0</v>
      </c>
      <c r="F29" s="163">
        <f t="shared" si="4"/>
        <v>0</v>
      </c>
      <c r="G29" s="165">
        <f t="shared" si="5"/>
        <v>0</v>
      </c>
      <c r="H29" s="147">
        <f t="shared" si="6"/>
        <v>0</v>
      </c>
      <c r="I29" s="160">
        <f t="shared" si="7"/>
        <v>0</v>
      </c>
      <c r="J29" s="160"/>
      <c r="K29" s="330"/>
      <c r="L29" s="162">
        <f t="shared" si="0"/>
        <v>0</v>
      </c>
      <c r="M29" s="330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0</v>
      </c>
      <c r="E30" s="164">
        <f t="shared" si="3"/>
        <v>0</v>
      </c>
      <c r="F30" s="163">
        <f t="shared" si="4"/>
        <v>0</v>
      </c>
      <c r="G30" s="165">
        <f t="shared" si="5"/>
        <v>0</v>
      </c>
      <c r="H30" s="147">
        <f t="shared" si="6"/>
        <v>0</v>
      </c>
      <c r="I30" s="160">
        <f t="shared" si="7"/>
        <v>0</v>
      </c>
      <c r="J30" s="160"/>
      <c r="K30" s="330"/>
      <c r="L30" s="162">
        <f t="shared" si="0"/>
        <v>0</v>
      </c>
      <c r="M30" s="330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0</v>
      </c>
      <c r="E31" s="164">
        <f t="shared" si="3"/>
        <v>0</v>
      </c>
      <c r="F31" s="163">
        <f t="shared" si="4"/>
        <v>0</v>
      </c>
      <c r="G31" s="165">
        <f t="shared" si="5"/>
        <v>0</v>
      </c>
      <c r="H31" s="147">
        <f t="shared" si="6"/>
        <v>0</v>
      </c>
      <c r="I31" s="160">
        <f t="shared" si="7"/>
        <v>0</v>
      </c>
      <c r="J31" s="160"/>
      <c r="K31" s="330"/>
      <c r="L31" s="162">
        <f t="shared" si="0"/>
        <v>0</v>
      </c>
      <c r="M31" s="330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0</v>
      </c>
      <c r="E32" s="164">
        <f t="shared" si="3"/>
        <v>0</v>
      </c>
      <c r="F32" s="163">
        <f t="shared" si="4"/>
        <v>0</v>
      </c>
      <c r="G32" s="165">
        <f t="shared" si="5"/>
        <v>0</v>
      </c>
      <c r="H32" s="147">
        <f t="shared" si="6"/>
        <v>0</v>
      </c>
      <c r="I32" s="160">
        <f t="shared" si="7"/>
        <v>0</v>
      </c>
      <c r="J32" s="160"/>
      <c r="K32" s="330"/>
      <c r="L32" s="162">
        <f t="shared" si="0"/>
        <v>0</v>
      </c>
      <c r="M32" s="330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0</v>
      </c>
      <c r="E33" s="164">
        <f t="shared" si="3"/>
        <v>0</v>
      </c>
      <c r="F33" s="163">
        <f t="shared" si="4"/>
        <v>0</v>
      </c>
      <c r="G33" s="165">
        <f t="shared" si="5"/>
        <v>0</v>
      </c>
      <c r="H33" s="147">
        <f t="shared" si="6"/>
        <v>0</v>
      </c>
      <c r="I33" s="160">
        <f t="shared" si="7"/>
        <v>0</v>
      </c>
      <c r="J33" s="160"/>
      <c r="K33" s="330"/>
      <c r="L33" s="162">
        <f t="shared" si="0"/>
        <v>0</v>
      </c>
      <c r="M33" s="330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0</v>
      </c>
      <c r="E34" s="164">
        <f t="shared" si="3"/>
        <v>0</v>
      </c>
      <c r="F34" s="163">
        <f t="shared" si="4"/>
        <v>0</v>
      </c>
      <c r="G34" s="165">
        <f t="shared" si="5"/>
        <v>0</v>
      </c>
      <c r="H34" s="147">
        <f t="shared" si="6"/>
        <v>0</v>
      </c>
      <c r="I34" s="160">
        <f t="shared" si="7"/>
        <v>0</v>
      </c>
      <c r="J34" s="160"/>
      <c r="K34" s="330"/>
      <c r="L34" s="162">
        <f t="shared" si="0"/>
        <v>0</v>
      </c>
      <c r="M34" s="330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0</v>
      </c>
      <c r="E35" s="164">
        <f t="shared" si="3"/>
        <v>0</v>
      </c>
      <c r="F35" s="163">
        <f t="shared" si="4"/>
        <v>0</v>
      </c>
      <c r="G35" s="165">
        <f t="shared" si="5"/>
        <v>0</v>
      </c>
      <c r="H35" s="147">
        <f t="shared" si="6"/>
        <v>0</v>
      </c>
      <c r="I35" s="160">
        <f t="shared" si="7"/>
        <v>0</v>
      </c>
      <c r="J35" s="160"/>
      <c r="K35" s="330"/>
      <c r="L35" s="162">
        <f t="shared" si="0"/>
        <v>0</v>
      </c>
      <c r="M35" s="330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0</v>
      </c>
      <c r="E36" s="164">
        <f t="shared" si="3"/>
        <v>0</v>
      </c>
      <c r="F36" s="163">
        <f t="shared" si="4"/>
        <v>0</v>
      </c>
      <c r="G36" s="165">
        <f t="shared" si="5"/>
        <v>0</v>
      </c>
      <c r="H36" s="147">
        <f t="shared" si="6"/>
        <v>0</v>
      </c>
      <c r="I36" s="160">
        <f t="shared" si="7"/>
        <v>0</v>
      </c>
      <c r="J36" s="160"/>
      <c r="K36" s="330"/>
      <c r="L36" s="162">
        <f t="shared" si="0"/>
        <v>0</v>
      </c>
      <c r="M36" s="330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0</v>
      </c>
      <c r="E37" s="164">
        <f t="shared" si="3"/>
        <v>0</v>
      </c>
      <c r="F37" s="163">
        <f t="shared" si="4"/>
        <v>0</v>
      </c>
      <c r="G37" s="165">
        <f t="shared" si="5"/>
        <v>0</v>
      </c>
      <c r="H37" s="147">
        <f t="shared" si="6"/>
        <v>0</v>
      </c>
      <c r="I37" s="160">
        <f t="shared" si="7"/>
        <v>0</v>
      </c>
      <c r="J37" s="160"/>
      <c r="K37" s="330"/>
      <c r="L37" s="162">
        <f t="shared" si="0"/>
        <v>0</v>
      </c>
      <c r="M37" s="330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0</v>
      </c>
      <c r="E38" s="164">
        <f t="shared" si="3"/>
        <v>0</v>
      </c>
      <c r="F38" s="163">
        <f t="shared" si="4"/>
        <v>0</v>
      </c>
      <c r="G38" s="165">
        <f t="shared" si="5"/>
        <v>0</v>
      </c>
      <c r="H38" s="147">
        <f t="shared" si="6"/>
        <v>0</v>
      </c>
      <c r="I38" s="160">
        <f t="shared" si="7"/>
        <v>0</v>
      </c>
      <c r="J38" s="160"/>
      <c r="K38" s="330"/>
      <c r="L38" s="162">
        <f t="shared" si="0"/>
        <v>0</v>
      </c>
      <c r="M38" s="330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0</v>
      </c>
      <c r="E39" s="164">
        <f t="shared" si="3"/>
        <v>0</v>
      </c>
      <c r="F39" s="163">
        <f t="shared" si="4"/>
        <v>0</v>
      </c>
      <c r="G39" s="165">
        <f t="shared" si="5"/>
        <v>0</v>
      </c>
      <c r="H39" s="147">
        <f t="shared" si="6"/>
        <v>0</v>
      </c>
      <c r="I39" s="160">
        <f t="shared" si="7"/>
        <v>0</v>
      </c>
      <c r="J39" s="160"/>
      <c r="K39" s="330"/>
      <c r="L39" s="162">
        <f t="shared" si="0"/>
        <v>0</v>
      </c>
      <c r="M39" s="330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0</v>
      </c>
      <c r="E40" s="164">
        <f t="shared" si="3"/>
        <v>0</v>
      </c>
      <c r="F40" s="163">
        <f t="shared" si="4"/>
        <v>0</v>
      </c>
      <c r="G40" s="165">
        <f t="shared" si="5"/>
        <v>0</v>
      </c>
      <c r="H40" s="147">
        <f t="shared" si="6"/>
        <v>0</v>
      </c>
      <c r="I40" s="160">
        <f t="shared" si="7"/>
        <v>0</v>
      </c>
      <c r="J40" s="160"/>
      <c r="K40" s="330"/>
      <c r="L40" s="162">
        <f t="shared" si="0"/>
        <v>0</v>
      </c>
      <c r="M40" s="330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0</v>
      </c>
      <c r="E41" s="164">
        <f t="shared" si="3"/>
        <v>0</v>
      </c>
      <c r="F41" s="163">
        <f t="shared" si="4"/>
        <v>0</v>
      </c>
      <c r="G41" s="165">
        <f t="shared" si="5"/>
        <v>0</v>
      </c>
      <c r="H41" s="147">
        <f t="shared" si="6"/>
        <v>0</v>
      </c>
      <c r="I41" s="160">
        <f t="shared" si="7"/>
        <v>0</v>
      </c>
      <c r="J41" s="160"/>
      <c r="K41" s="330"/>
      <c r="L41" s="162">
        <f t="shared" si="0"/>
        <v>0</v>
      </c>
      <c r="M41" s="330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0</v>
      </c>
      <c r="E42" s="164">
        <f t="shared" si="3"/>
        <v>0</v>
      </c>
      <c r="F42" s="163">
        <f t="shared" si="4"/>
        <v>0</v>
      </c>
      <c r="G42" s="165">
        <f t="shared" si="5"/>
        <v>0</v>
      </c>
      <c r="H42" s="147">
        <f t="shared" si="6"/>
        <v>0</v>
      </c>
      <c r="I42" s="160">
        <f t="shared" si="7"/>
        <v>0</v>
      </c>
      <c r="J42" s="160"/>
      <c r="K42" s="330"/>
      <c r="L42" s="162">
        <f t="shared" si="0"/>
        <v>0</v>
      </c>
      <c r="M42" s="330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0</v>
      </c>
      <c r="E43" s="164">
        <f t="shared" si="3"/>
        <v>0</v>
      </c>
      <c r="F43" s="163">
        <f t="shared" si="4"/>
        <v>0</v>
      </c>
      <c r="G43" s="165">
        <f t="shared" si="5"/>
        <v>0</v>
      </c>
      <c r="H43" s="147">
        <f t="shared" si="6"/>
        <v>0</v>
      </c>
      <c r="I43" s="160">
        <f t="shared" si="7"/>
        <v>0</v>
      </c>
      <c r="J43" s="160"/>
      <c r="K43" s="330"/>
      <c r="L43" s="162">
        <f t="shared" si="0"/>
        <v>0</v>
      </c>
      <c r="M43" s="330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0</v>
      </c>
      <c r="E44" s="164">
        <f t="shared" si="3"/>
        <v>0</v>
      </c>
      <c r="F44" s="163">
        <f t="shared" si="4"/>
        <v>0</v>
      </c>
      <c r="G44" s="165">
        <f t="shared" si="5"/>
        <v>0</v>
      </c>
      <c r="H44" s="147">
        <f t="shared" si="6"/>
        <v>0</v>
      </c>
      <c r="I44" s="160">
        <f t="shared" si="7"/>
        <v>0</v>
      </c>
      <c r="J44" s="160"/>
      <c r="K44" s="330"/>
      <c r="L44" s="162">
        <f t="shared" si="0"/>
        <v>0</v>
      </c>
      <c r="M44" s="330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0</v>
      </c>
      <c r="E45" s="164">
        <f t="shared" si="3"/>
        <v>0</v>
      </c>
      <c r="F45" s="163">
        <f t="shared" si="4"/>
        <v>0</v>
      </c>
      <c r="G45" s="165">
        <f t="shared" si="5"/>
        <v>0</v>
      </c>
      <c r="H45" s="147">
        <f t="shared" si="6"/>
        <v>0</v>
      </c>
      <c r="I45" s="160">
        <f t="shared" si="7"/>
        <v>0</v>
      </c>
      <c r="J45" s="160"/>
      <c r="K45" s="330"/>
      <c r="L45" s="162">
        <f t="shared" si="0"/>
        <v>0</v>
      </c>
      <c r="M45" s="330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0</v>
      </c>
      <c r="E46" s="164">
        <f t="shared" si="3"/>
        <v>0</v>
      </c>
      <c r="F46" s="163">
        <f t="shared" si="4"/>
        <v>0</v>
      </c>
      <c r="G46" s="165">
        <f t="shared" si="5"/>
        <v>0</v>
      </c>
      <c r="H46" s="147">
        <f t="shared" si="6"/>
        <v>0</v>
      </c>
      <c r="I46" s="160">
        <f t="shared" si="7"/>
        <v>0</v>
      </c>
      <c r="J46" s="160"/>
      <c r="K46" s="330"/>
      <c r="L46" s="162">
        <f t="shared" si="0"/>
        <v>0</v>
      </c>
      <c r="M46" s="330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0</v>
      </c>
      <c r="E47" s="164">
        <f t="shared" si="3"/>
        <v>0</v>
      </c>
      <c r="F47" s="163">
        <f t="shared" si="4"/>
        <v>0</v>
      </c>
      <c r="G47" s="165">
        <f t="shared" si="5"/>
        <v>0</v>
      </c>
      <c r="H47" s="147">
        <f t="shared" si="6"/>
        <v>0</v>
      </c>
      <c r="I47" s="160">
        <f t="shared" si="7"/>
        <v>0</v>
      </c>
      <c r="J47" s="160"/>
      <c r="K47" s="330"/>
      <c r="L47" s="162">
        <f t="shared" si="0"/>
        <v>0</v>
      </c>
      <c r="M47" s="330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0</v>
      </c>
      <c r="E48" s="164">
        <f t="shared" si="3"/>
        <v>0</v>
      </c>
      <c r="F48" s="163">
        <f t="shared" si="4"/>
        <v>0</v>
      </c>
      <c r="G48" s="165">
        <f t="shared" si="5"/>
        <v>0</v>
      </c>
      <c r="H48" s="147">
        <f t="shared" si="6"/>
        <v>0</v>
      </c>
      <c r="I48" s="160">
        <f t="shared" si="7"/>
        <v>0</v>
      </c>
      <c r="J48" s="160"/>
      <c r="K48" s="330"/>
      <c r="L48" s="162">
        <f t="shared" si="0"/>
        <v>0</v>
      </c>
      <c r="M48" s="330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0</v>
      </c>
      <c r="E49" s="164">
        <f t="shared" si="3"/>
        <v>0</v>
      </c>
      <c r="F49" s="163">
        <f t="shared" si="4"/>
        <v>0</v>
      </c>
      <c r="G49" s="165">
        <f t="shared" si="5"/>
        <v>0</v>
      </c>
      <c r="H49" s="147">
        <f t="shared" si="6"/>
        <v>0</v>
      </c>
      <c r="I49" s="160">
        <f t="shared" si="7"/>
        <v>0</v>
      </c>
      <c r="J49" s="160"/>
      <c r="K49" s="330"/>
      <c r="L49" s="162">
        <f t="shared" si="0"/>
        <v>0</v>
      </c>
      <c r="M49" s="330"/>
      <c r="N49" s="162">
        <f t="shared" si="1"/>
        <v>0</v>
      </c>
      <c r="O49" s="162">
        <f t="shared" si="2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0</v>
      </c>
      <c r="E50" s="164">
        <f t="shared" si="3"/>
        <v>0</v>
      </c>
      <c r="F50" s="163">
        <f t="shared" si="4"/>
        <v>0</v>
      </c>
      <c r="G50" s="165">
        <f t="shared" si="5"/>
        <v>0</v>
      </c>
      <c r="H50" s="147">
        <f t="shared" si="6"/>
        <v>0</v>
      </c>
      <c r="I50" s="160">
        <f t="shared" si="7"/>
        <v>0</v>
      </c>
      <c r="J50" s="160"/>
      <c r="K50" s="330"/>
      <c r="L50" s="162">
        <f t="shared" si="0"/>
        <v>0</v>
      </c>
      <c r="M50" s="330"/>
      <c r="N50" s="162">
        <f t="shared" si="1"/>
        <v>0</v>
      </c>
      <c r="O50" s="162">
        <f t="shared" si="2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0</v>
      </c>
      <c r="E51" s="164">
        <f t="shared" si="3"/>
        <v>0</v>
      </c>
      <c r="F51" s="163">
        <f t="shared" si="4"/>
        <v>0</v>
      </c>
      <c r="G51" s="165">
        <f t="shared" si="5"/>
        <v>0</v>
      </c>
      <c r="H51" s="147">
        <f t="shared" si="6"/>
        <v>0</v>
      </c>
      <c r="I51" s="160">
        <f t="shared" si="7"/>
        <v>0</v>
      </c>
      <c r="J51" s="160"/>
      <c r="K51" s="330"/>
      <c r="L51" s="162">
        <f t="shared" si="0"/>
        <v>0</v>
      </c>
      <c r="M51" s="330"/>
      <c r="N51" s="162">
        <f t="shared" si="1"/>
        <v>0</v>
      </c>
      <c r="O51" s="162">
        <f t="shared" si="2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0</v>
      </c>
      <c r="E52" s="164">
        <f t="shared" si="3"/>
        <v>0</v>
      </c>
      <c r="F52" s="163">
        <f t="shared" si="4"/>
        <v>0</v>
      </c>
      <c r="G52" s="165">
        <f t="shared" si="5"/>
        <v>0</v>
      </c>
      <c r="H52" s="147">
        <f t="shared" si="6"/>
        <v>0</v>
      </c>
      <c r="I52" s="160">
        <f t="shared" si="7"/>
        <v>0</v>
      </c>
      <c r="J52" s="160"/>
      <c r="K52" s="330"/>
      <c r="L52" s="162">
        <f t="shared" si="0"/>
        <v>0</v>
      </c>
      <c r="M52" s="330"/>
      <c r="N52" s="162">
        <f t="shared" si="1"/>
        <v>0</v>
      </c>
      <c r="O52" s="162">
        <f t="shared" si="2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0</v>
      </c>
      <c r="E53" s="164">
        <f t="shared" si="3"/>
        <v>0</v>
      </c>
      <c r="F53" s="163">
        <f t="shared" si="4"/>
        <v>0</v>
      </c>
      <c r="G53" s="165">
        <f t="shared" si="5"/>
        <v>0</v>
      </c>
      <c r="H53" s="147">
        <f t="shared" si="6"/>
        <v>0</v>
      </c>
      <c r="I53" s="160">
        <f t="shared" si="7"/>
        <v>0</v>
      </c>
      <c r="J53" s="160"/>
      <c r="K53" s="330"/>
      <c r="L53" s="162">
        <f t="shared" si="0"/>
        <v>0</v>
      </c>
      <c r="M53" s="330"/>
      <c r="N53" s="162">
        <f t="shared" si="1"/>
        <v>0</v>
      </c>
      <c r="O53" s="162">
        <f t="shared" si="2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0</v>
      </c>
      <c r="E54" s="164">
        <f t="shared" si="3"/>
        <v>0</v>
      </c>
      <c r="F54" s="163">
        <f t="shared" si="4"/>
        <v>0</v>
      </c>
      <c r="G54" s="165">
        <f t="shared" si="5"/>
        <v>0</v>
      </c>
      <c r="H54" s="147">
        <f t="shared" si="6"/>
        <v>0</v>
      </c>
      <c r="I54" s="160">
        <f t="shared" si="7"/>
        <v>0</v>
      </c>
      <c r="J54" s="160"/>
      <c r="K54" s="330"/>
      <c r="L54" s="162">
        <f t="shared" si="0"/>
        <v>0</v>
      </c>
      <c r="M54" s="330"/>
      <c r="N54" s="162">
        <f t="shared" si="1"/>
        <v>0</v>
      </c>
      <c r="O54" s="162">
        <f t="shared" si="2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0</v>
      </c>
      <c r="E55" s="164">
        <f t="shared" si="3"/>
        <v>0</v>
      </c>
      <c r="F55" s="163">
        <f t="shared" si="4"/>
        <v>0</v>
      </c>
      <c r="G55" s="165">
        <f t="shared" si="5"/>
        <v>0</v>
      </c>
      <c r="H55" s="147">
        <f t="shared" si="6"/>
        <v>0</v>
      </c>
      <c r="I55" s="160">
        <f t="shared" si="7"/>
        <v>0</v>
      </c>
      <c r="J55" s="160"/>
      <c r="K55" s="330"/>
      <c r="L55" s="162">
        <f t="shared" si="0"/>
        <v>0</v>
      </c>
      <c r="M55" s="330"/>
      <c r="N55" s="162">
        <f t="shared" si="1"/>
        <v>0</v>
      </c>
      <c r="O55" s="162">
        <f t="shared" si="2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0</v>
      </c>
      <c r="E56" s="164">
        <f t="shared" si="3"/>
        <v>0</v>
      </c>
      <c r="F56" s="163">
        <f t="shared" si="4"/>
        <v>0</v>
      </c>
      <c r="G56" s="165">
        <f t="shared" si="5"/>
        <v>0</v>
      </c>
      <c r="H56" s="147">
        <f t="shared" si="6"/>
        <v>0</v>
      </c>
      <c r="I56" s="160">
        <f t="shared" si="7"/>
        <v>0</v>
      </c>
      <c r="J56" s="160"/>
      <c r="K56" s="330"/>
      <c r="L56" s="162">
        <f t="shared" si="0"/>
        <v>0</v>
      </c>
      <c r="M56" s="330"/>
      <c r="N56" s="162">
        <f t="shared" si="1"/>
        <v>0</v>
      </c>
      <c r="O56" s="162">
        <f t="shared" si="2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0</v>
      </c>
      <c r="E57" s="164">
        <f t="shared" si="3"/>
        <v>0</v>
      </c>
      <c r="F57" s="163">
        <f t="shared" si="4"/>
        <v>0</v>
      </c>
      <c r="G57" s="165">
        <f t="shared" si="5"/>
        <v>0</v>
      </c>
      <c r="H57" s="147">
        <f t="shared" si="6"/>
        <v>0</v>
      </c>
      <c r="I57" s="160">
        <f t="shared" si="7"/>
        <v>0</v>
      </c>
      <c r="J57" s="160"/>
      <c r="K57" s="330"/>
      <c r="L57" s="162">
        <f t="shared" si="0"/>
        <v>0</v>
      </c>
      <c r="M57" s="330"/>
      <c r="N57" s="162">
        <f t="shared" si="1"/>
        <v>0</v>
      </c>
      <c r="O57" s="162">
        <f t="shared" si="2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3"/>
        <v>0</v>
      </c>
      <c r="F58" s="163">
        <f t="shared" si="4"/>
        <v>0</v>
      </c>
      <c r="G58" s="165">
        <f t="shared" si="5"/>
        <v>0</v>
      </c>
      <c r="H58" s="147">
        <f t="shared" si="6"/>
        <v>0</v>
      </c>
      <c r="I58" s="160">
        <f t="shared" si="7"/>
        <v>0</v>
      </c>
      <c r="J58" s="160"/>
      <c r="K58" s="330"/>
      <c r="L58" s="162">
        <f t="shared" si="0"/>
        <v>0</v>
      </c>
      <c r="M58" s="330"/>
      <c r="N58" s="162">
        <f t="shared" si="1"/>
        <v>0</v>
      </c>
      <c r="O58" s="162">
        <f t="shared" si="2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3"/>
        <v>0</v>
      </c>
      <c r="F59" s="163">
        <f t="shared" si="4"/>
        <v>0</v>
      </c>
      <c r="G59" s="165">
        <f t="shared" si="5"/>
        <v>0</v>
      </c>
      <c r="H59" s="147">
        <f t="shared" si="6"/>
        <v>0</v>
      </c>
      <c r="I59" s="160">
        <f t="shared" si="7"/>
        <v>0</v>
      </c>
      <c r="J59" s="160"/>
      <c r="K59" s="330"/>
      <c r="L59" s="162">
        <f t="shared" si="0"/>
        <v>0</v>
      </c>
      <c r="M59" s="330"/>
      <c r="N59" s="162">
        <f t="shared" si="1"/>
        <v>0</v>
      </c>
      <c r="O59" s="162">
        <f t="shared" si="2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3"/>
        <v>0</v>
      </c>
      <c r="F60" s="163">
        <f t="shared" si="4"/>
        <v>0</v>
      </c>
      <c r="G60" s="165">
        <f t="shared" si="5"/>
        <v>0</v>
      </c>
      <c r="H60" s="147">
        <f t="shared" si="6"/>
        <v>0</v>
      </c>
      <c r="I60" s="160">
        <f t="shared" si="7"/>
        <v>0</v>
      </c>
      <c r="J60" s="160"/>
      <c r="K60" s="330"/>
      <c r="L60" s="162">
        <f t="shared" si="0"/>
        <v>0</v>
      </c>
      <c r="M60" s="330"/>
      <c r="N60" s="162">
        <f t="shared" si="1"/>
        <v>0</v>
      </c>
      <c r="O60" s="162">
        <f t="shared" si="2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3"/>
        <v>0</v>
      </c>
      <c r="F61" s="163">
        <f t="shared" si="4"/>
        <v>0</v>
      </c>
      <c r="G61" s="165">
        <f t="shared" si="5"/>
        <v>0</v>
      </c>
      <c r="H61" s="147">
        <f t="shared" si="6"/>
        <v>0</v>
      </c>
      <c r="I61" s="160">
        <f t="shared" si="7"/>
        <v>0</v>
      </c>
      <c r="J61" s="160"/>
      <c r="K61" s="330"/>
      <c r="L61" s="162">
        <f t="shared" si="0"/>
        <v>0</v>
      </c>
      <c r="M61" s="330"/>
      <c r="N61" s="162">
        <f t="shared" si="1"/>
        <v>0</v>
      </c>
      <c r="O61" s="162">
        <f t="shared" si="2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3"/>
        <v>0</v>
      </c>
      <c r="F62" s="163">
        <f t="shared" si="4"/>
        <v>0</v>
      </c>
      <c r="G62" s="165">
        <f t="shared" si="5"/>
        <v>0</v>
      </c>
      <c r="H62" s="147">
        <f t="shared" si="6"/>
        <v>0</v>
      </c>
      <c r="I62" s="160">
        <f t="shared" si="7"/>
        <v>0</v>
      </c>
      <c r="J62" s="160"/>
      <c r="K62" s="330"/>
      <c r="L62" s="162">
        <f t="shared" si="0"/>
        <v>0</v>
      </c>
      <c r="M62" s="330"/>
      <c r="N62" s="162">
        <f t="shared" si="1"/>
        <v>0</v>
      </c>
      <c r="O62" s="162">
        <f t="shared" si="2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0"/>
      <c r="L63" s="162">
        <f t="shared" si="0"/>
        <v>0</v>
      </c>
      <c r="M63" s="330"/>
      <c r="N63" s="162">
        <f t="shared" si="1"/>
        <v>0</v>
      </c>
      <c r="O63" s="162">
        <f t="shared" si="2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0"/>
      <c r="L64" s="162">
        <f t="shared" si="0"/>
        <v>0</v>
      </c>
      <c r="M64" s="330"/>
      <c r="N64" s="162">
        <f t="shared" si="1"/>
        <v>0</v>
      </c>
      <c r="O64" s="162">
        <f t="shared" si="2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0"/>
      <c r="L65" s="162">
        <f t="shared" si="0"/>
        <v>0</v>
      </c>
      <c r="M65" s="330"/>
      <c r="N65" s="162">
        <f t="shared" si="1"/>
        <v>0</v>
      </c>
      <c r="O65" s="162">
        <f t="shared" si="2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0"/>
      <c r="L66" s="162">
        <f t="shared" si="0"/>
        <v>0</v>
      </c>
      <c r="M66" s="330"/>
      <c r="N66" s="162">
        <f t="shared" si="1"/>
        <v>0</v>
      </c>
      <c r="O66" s="162">
        <f t="shared" si="2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0"/>
      <c r="L67" s="162">
        <f t="shared" si="0"/>
        <v>0</v>
      </c>
      <c r="M67" s="330"/>
      <c r="N67" s="162">
        <f t="shared" si="1"/>
        <v>0</v>
      </c>
      <c r="O67" s="162">
        <f t="shared" si="2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0"/>
      <c r="L68" s="162">
        <f t="shared" si="0"/>
        <v>0</v>
      </c>
      <c r="M68" s="330"/>
      <c r="N68" s="162">
        <f t="shared" si="1"/>
        <v>0</v>
      </c>
      <c r="O68" s="162">
        <f t="shared" si="2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0"/>
      <c r="L69" s="162">
        <f t="shared" si="0"/>
        <v>0</v>
      </c>
      <c r="M69" s="330"/>
      <c r="N69" s="162">
        <f t="shared" si="1"/>
        <v>0</v>
      </c>
      <c r="O69" s="162">
        <f t="shared" si="2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0"/>
      <c r="L70" s="162">
        <f t="shared" si="0"/>
        <v>0</v>
      </c>
      <c r="M70" s="330"/>
      <c r="N70" s="162">
        <f t="shared" si="1"/>
        <v>0</v>
      </c>
      <c r="O70" s="162">
        <f t="shared" si="2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0"/>
      <c r="L71" s="162">
        <f t="shared" si="0"/>
        <v>0</v>
      </c>
      <c r="M71" s="330"/>
      <c r="N71" s="162">
        <f t="shared" si="1"/>
        <v>0</v>
      </c>
      <c r="O71" s="162">
        <f t="shared" si="2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36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2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1"/>
      <c r="L72" s="173">
        <f t="shared" si="0"/>
        <v>0</v>
      </c>
      <c r="M72" s="331"/>
      <c r="N72" s="173">
        <f t="shared" si="1"/>
        <v>0</v>
      </c>
      <c r="O72" s="173">
        <f t="shared" si="2"/>
        <v>0</v>
      </c>
      <c r="P72" s="4"/>
    </row>
    <row r="73" spans="2:16">
      <c r="C73" s="158" t="s">
        <v>77</v>
      </c>
      <c r="D73" s="115"/>
      <c r="E73" s="115">
        <f>SUM(E17:E72)</f>
        <v>0</v>
      </c>
      <c r="F73" s="115"/>
      <c r="G73" s="115">
        <f>SUM(G17:G72)</f>
        <v>0</v>
      </c>
      <c r="H73" s="115">
        <f>SUM(H17:H72)</f>
        <v>0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27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inset project name here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f>IF(D11=I10,0,D10)</f>
        <v>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2015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4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2015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>+J$94*G99+E99</f>
        <v>0</v>
      </c>
      <c r="I99" s="218">
        <f>+J$95*G99+E99</f>
        <v>0</v>
      </c>
      <c r="J99" s="162">
        <f>+I99-H99</f>
        <v>0</v>
      </c>
      <c r="K99" s="162"/>
      <c r="L99" s="329"/>
      <c r="M99" s="161">
        <f t="shared" ref="M99:M130" si="9">IF(L99&lt;&gt;0,+H99-L99,0)</f>
        <v>0</v>
      </c>
      <c r="N99" s="329"/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/>
      </c>
      <c r="C100" s="157">
        <f>IF(D93="","-",+C99+1)</f>
        <v>2016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28">
        <f t="shared" ref="H100:H154" si="12">+J$94*G100+E100</f>
        <v>0</v>
      </c>
      <c r="I100" s="339">
        <f t="shared" ref="I100:I154" si="13">+J$95*G100+E100</f>
        <v>0</v>
      </c>
      <c r="J100" s="162">
        <f t="shared" ref="J100:J130" si="14">+I100-H100</f>
        <v>0</v>
      </c>
      <c r="K100" s="162"/>
      <c r="L100" s="330"/>
      <c r="M100" s="162">
        <f t="shared" si="9"/>
        <v>0</v>
      </c>
      <c r="N100" s="330"/>
      <c r="O100" s="162">
        <f t="shared" si="10"/>
        <v>0</v>
      </c>
      <c r="P100" s="162">
        <f t="shared" si="11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2017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28">
        <f t="shared" si="12"/>
        <v>0</v>
      </c>
      <c r="I101" s="339">
        <f t="shared" si="13"/>
        <v>0</v>
      </c>
      <c r="J101" s="162">
        <f t="shared" si="14"/>
        <v>0</v>
      </c>
      <c r="K101" s="162"/>
      <c r="L101" s="330"/>
      <c r="M101" s="162">
        <f t="shared" si="9"/>
        <v>0</v>
      </c>
      <c r="N101" s="330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5"/>
        <v/>
      </c>
      <c r="C102" s="157">
        <f>IF(D93="","-",+C101+1)</f>
        <v>2018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28">
        <f t="shared" si="12"/>
        <v>0</v>
      </c>
      <c r="I102" s="339">
        <f t="shared" si="13"/>
        <v>0</v>
      </c>
      <c r="J102" s="162">
        <f t="shared" si="14"/>
        <v>0</v>
      </c>
      <c r="K102" s="162"/>
      <c r="L102" s="330"/>
      <c r="M102" s="162">
        <f t="shared" si="9"/>
        <v>0</v>
      </c>
      <c r="N102" s="330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5"/>
        <v/>
      </c>
      <c r="C103" s="157">
        <f>IF(D93="","-",+C102+1)</f>
        <v>2019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28">
        <f t="shared" si="12"/>
        <v>0</v>
      </c>
      <c r="I103" s="339">
        <f t="shared" si="13"/>
        <v>0</v>
      </c>
      <c r="J103" s="162">
        <f t="shared" si="14"/>
        <v>0</v>
      </c>
      <c r="K103" s="162"/>
      <c r="L103" s="330"/>
      <c r="M103" s="162">
        <f t="shared" si="9"/>
        <v>0</v>
      </c>
      <c r="N103" s="330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5"/>
        <v/>
      </c>
      <c r="C104" s="157">
        <f>IF(D93="","-",+C103+1)</f>
        <v>2020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28">
        <f t="shared" si="12"/>
        <v>0</v>
      </c>
      <c r="I104" s="339">
        <f t="shared" si="13"/>
        <v>0</v>
      </c>
      <c r="J104" s="162">
        <f t="shared" si="14"/>
        <v>0</v>
      </c>
      <c r="K104" s="162"/>
      <c r="L104" s="330"/>
      <c r="M104" s="162">
        <f t="shared" si="9"/>
        <v>0</v>
      </c>
      <c r="N104" s="330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5"/>
        <v/>
      </c>
      <c r="C105" s="157">
        <f>IF(D93="","-",+C104+1)</f>
        <v>2021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28">
        <f t="shared" si="12"/>
        <v>0</v>
      </c>
      <c r="I105" s="339">
        <f t="shared" si="13"/>
        <v>0</v>
      </c>
      <c r="J105" s="162">
        <f t="shared" si="14"/>
        <v>0</v>
      </c>
      <c r="K105" s="162"/>
      <c r="L105" s="330"/>
      <c r="M105" s="162">
        <f t="shared" si="9"/>
        <v>0</v>
      </c>
      <c r="N105" s="330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5"/>
        <v/>
      </c>
      <c r="C106" s="157">
        <f>IF(D93="","-",+C105+1)</f>
        <v>2022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28">
        <f t="shared" si="12"/>
        <v>0</v>
      </c>
      <c r="I106" s="339">
        <f t="shared" si="13"/>
        <v>0</v>
      </c>
      <c r="J106" s="162">
        <f t="shared" si="14"/>
        <v>0</v>
      </c>
      <c r="K106" s="162"/>
      <c r="L106" s="330"/>
      <c r="M106" s="162">
        <f t="shared" si="9"/>
        <v>0</v>
      </c>
      <c r="N106" s="330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5"/>
        <v/>
      </c>
      <c r="C107" s="157">
        <f>IF(D93="","-",+C106+1)</f>
        <v>2023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28">
        <f t="shared" si="12"/>
        <v>0</v>
      </c>
      <c r="I107" s="339">
        <f t="shared" si="13"/>
        <v>0</v>
      </c>
      <c r="J107" s="162">
        <f t="shared" si="14"/>
        <v>0</v>
      </c>
      <c r="K107" s="162"/>
      <c r="L107" s="330"/>
      <c r="M107" s="162">
        <f t="shared" si="9"/>
        <v>0</v>
      </c>
      <c r="N107" s="330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5"/>
        <v/>
      </c>
      <c r="C108" s="157">
        <f>IF(D93="","-",+C107+1)</f>
        <v>2024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28">
        <f t="shared" si="12"/>
        <v>0</v>
      </c>
      <c r="I108" s="339">
        <f t="shared" si="13"/>
        <v>0</v>
      </c>
      <c r="J108" s="162">
        <f t="shared" si="14"/>
        <v>0</v>
      </c>
      <c r="K108" s="162"/>
      <c r="L108" s="330"/>
      <c r="M108" s="162">
        <f t="shared" si="9"/>
        <v>0</v>
      </c>
      <c r="N108" s="330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5"/>
        <v/>
      </c>
      <c r="C109" s="157">
        <f>IF(D93="","-",+C108+1)</f>
        <v>2025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28">
        <f t="shared" si="12"/>
        <v>0</v>
      </c>
      <c r="I109" s="339">
        <f t="shared" si="13"/>
        <v>0</v>
      </c>
      <c r="J109" s="162">
        <f t="shared" si="14"/>
        <v>0</v>
      </c>
      <c r="K109" s="162"/>
      <c r="L109" s="330"/>
      <c r="M109" s="162">
        <f t="shared" si="9"/>
        <v>0</v>
      </c>
      <c r="N109" s="330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5"/>
        <v/>
      </c>
      <c r="C110" s="157">
        <f>IF(D93="","-",+C109+1)</f>
        <v>2026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28">
        <f t="shared" si="12"/>
        <v>0</v>
      </c>
      <c r="I110" s="339">
        <f t="shared" si="13"/>
        <v>0</v>
      </c>
      <c r="J110" s="162">
        <f t="shared" si="14"/>
        <v>0</v>
      </c>
      <c r="K110" s="162"/>
      <c r="L110" s="330"/>
      <c r="M110" s="162">
        <f t="shared" si="9"/>
        <v>0</v>
      </c>
      <c r="N110" s="330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5"/>
        <v/>
      </c>
      <c r="C111" s="157">
        <f>IF(D93="","-",+C110+1)</f>
        <v>2027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28">
        <f t="shared" si="12"/>
        <v>0</v>
      </c>
      <c r="I111" s="339">
        <f t="shared" si="13"/>
        <v>0</v>
      </c>
      <c r="J111" s="162">
        <f t="shared" si="14"/>
        <v>0</v>
      </c>
      <c r="K111" s="162"/>
      <c r="L111" s="330"/>
      <c r="M111" s="162">
        <f t="shared" si="9"/>
        <v>0</v>
      </c>
      <c r="N111" s="330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5"/>
        <v/>
      </c>
      <c r="C112" s="157">
        <f>IF(D93="","-",+C111+1)</f>
        <v>2028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28">
        <f t="shared" si="12"/>
        <v>0</v>
      </c>
      <c r="I112" s="339">
        <f t="shared" si="13"/>
        <v>0</v>
      </c>
      <c r="J112" s="162">
        <f t="shared" si="14"/>
        <v>0</v>
      </c>
      <c r="K112" s="162"/>
      <c r="L112" s="330"/>
      <c r="M112" s="162">
        <f t="shared" si="9"/>
        <v>0</v>
      </c>
      <c r="N112" s="330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5"/>
        <v/>
      </c>
      <c r="C113" s="157">
        <f>IF(D93="","-",+C112+1)</f>
        <v>2029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28">
        <f t="shared" si="12"/>
        <v>0</v>
      </c>
      <c r="I113" s="339">
        <f t="shared" si="13"/>
        <v>0</v>
      </c>
      <c r="J113" s="162">
        <f t="shared" si="14"/>
        <v>0</v>
      </c>
      <c r="K113" s="162"/>
      <c r="L113" s="330"/>
      <c r="M113" s="162">
        <f t="shared" si="9"/>
        <v>0</v>
      </c>
      <c r="N113" s="330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5"/>
        <v/>
      </c>
      <c r="C114" s="157">
        <f>IF(D93="","-",+C113+1)</f>
        <v>2030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28">
        <f t="shared" si="12"/>
        <v>0</v>
      </c>
      <c r="I114" s="339">
        <f t="shared" si="13"/>
        <v>0</v>
      </c>
      <c r="J114" s="162">
        <f t="shared" si="14"/>
        <v>0</v>
      </c>
      <c r="K114" s="162"/>
      <c r="L114" s="330"/>
      <c r="M114" s="162">
        <f t="shared" si="9"/>
        <v>0</v>
      </c>
      <c r="N114" s="330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5"/>
        <v/>
      </c>
      <c r="C115" s="157">
        <f>IF(D93="","-",+C114+1)</f>
        <v>2031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28">
        <f t="shared" si="12"/>
        <v>0</v>
      </c>
      <c r="I115" s="339">
        <f t="shared" si="13"/>
        <v>0</v>
      </c>
      <c r="J115" s="162">
        <f t="shared" si="14"/>
        <v>0</v>
      </c>
      <c r="K115" s="162"/>
      <c r="L115" s="330"/>
      <c r="M115" s="162">
        <f t="shared" si="9"/>
        <v>0</v>
      </c>
      <c r="N115" s="330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5"/>
        <v/>
      </c>
      <c r="C116" s="157">
        <f>IF(D93="","-",+C115+1)</f>
        <v>2032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28">
        <f t="shared" si="12"/>
        <v>0</v>
      </c>
      <c r="I116" s="339">
        <f t="shared" si="13"/>
        <v>0</v>
      </c>
      <c r="J116" s="162">
        <f t="shared" si="14"/>
        <v>0</v>
      </c>
      <c r="K116" s="162"/>
      <c r="L116" s="330"/>
      <c r="M116" s="162">
        <f t="shared" si="9"/>
        <v>0</v>
      </c>
      <c r="N116" s="330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5"/>
        <v/>
      </c>
      <c r="C117" s="157">
        <f>IF(D93="","-",+C116+1)</f>
        <v>2033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28">
        <f t="shared" si="12"/>
        <v>0</v>
      </c>
      <c r="I117" s="339">
        <f t="shared" si="13"/>
        <v>0</v>
      </c>
      <c r="J117" s="162">
        <f t="shared" si="14"/>
        <v>0</v>
      </c>
      <c r="K117" s="162"/>
      <c r="L117" s="330"/>
      <c r="M117" s="162">
        <f t="shared" si="9"/>
        <v>0</v>
      </c>
      <c r="N117" s="330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5"/>
        <v/>
      </c>
      <c r="C118" s="157">
        <f>IF(D93="","-",+C117+1)</f>
        <v>2034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28">
        <f t="shared" si="12"/>
        <v>0</v>
      </c>
      <c r="I118" s="339">
        <f t="shared" si="13"/>
        <v>0</v>
      </c>
      <c r="J118" s="162">
        <f t="shared" si="14"/>
        <v>0</v>
      </c>
      <c r="K118" s="162"/>
      <c r="L118" s="330"/>
      <c r="M118" s="162">
        <f t="shared" si="9"/>
        <v>0</v>
      </c>
      <c r="N118" s="330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5"/>
        <v/>
      </c>
      <c r="C119" s="157">
        <f>IF(D93="","-",+C118+1)</f>
        <v>2035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28">
        <f t="shared" si="12"/>
        <v>0</v>
      </c>
      <c r="I119" s="339">
        <f t="shared" si="13"/>
        <v>0</v>
      </c>
      <c r="J119" s="162">
        <f t="shared" si="14"/>
        <v>0</v>
      </c>
      <c r="K119" s="162"/>
      <c r="L119" s="330"/>
      <c r="M119" s="162">
        <f t="shared" si="9"/>
        <v>0</v>
      </c>
      <c r="N119" s="330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5"/>
        <v/>
      </c>
      <c r="C120" s="157">
        <f>IF(D93="","-",+C119+1)</f>
        <v>2036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28">
        <f t="shared" si="12"/>
        <v>0</v>
      </c>
      <c r="I120" s="339">
        <f t="shared" si="13"/>
        <v>0</v>
      </c>
      <c r="J120" s="162">
        <f t="shared" si="14"/>
        <v>0</v>
      </c>
      <c r="K120" s="162"/>
      <c r="L120" s="330"/>
      <c r="M120" s="162">
        <f t="shared" si="9"/>
        <v>0</v>
      </c>
      <c r="N120" s="330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5"/>
        <v/>
      </c>
      <c r="C121" s="157">
        <f>IF(D93="","-",+C120+1)</f>
        <v>2037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28">
        <f t="shared" si="12"/>
        <v>0</v>
      </c>
      <c r="I121" s="339">
        <f t="shared" si="13"/>
        <v>0</v>
      </c>
      <c r="J121" s="162">
        <f t="shared" si="14"/>
        <v>0</v>
      </c>
      <c r="K121" s="162"/>
      <c r="L121" s="330"/>
      <c r="M121" s="162">
        <f t="shared" si="9"/>
        <v>0</v>
      </c>
      <c r="N121" s="330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5"/>
        <v/>
      </c>
      <c r="C122" s="157">
        <f>IF(D93="","-",+C121+1)</f>
        <v>2038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28">
        <f t="shared" si="12"/>
        <v>0</v>
      </c>
      <c r="I122" s="339">
        <f t="shared" si="13"/>
        <v>0</v>
      </c>
      <c r="J122" s="162">
        <f t="shared" si="14"/>
        <v>0</v>
      </c>
      <c r="K122" s="162"/>
      <c r="L122" s="330"/>
      <c r="M122" s="162">
        <f t="shared" si="9"/>
        <v>0</v>
      </c>
      <c r="N122" s="330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5"/>
        <v/>
      </c>
      <c r="C123" s="157">
        <f>IF(D93="","-",+C122+1)</f>
        <v>2039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28">
        <f t="shared" si="12"/>
        <v>0</v>
      </c>
      <c r="I123" s="339">
        <f t="shared" si="13"/>
        <v>0</v>
      </c>
      <c r="J123" s="162">
        <f t="shared" si="14"/>
        <v>0</v>
      </c>
      <c r="K123" s="162"/>
      <c r="L123" s="330"/>
      <c r="M123" s="162">
        <f t="shared" si="9"/>
        <v>0</v>
      </c>
      <c r="N123" s="330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5"/>
        <v/>
      </c>
      <c r="C124" s="157">
        <f>IF(D93="","-",+C123+1)</f>
        <v>2040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28">
        <f t="shared" si="12"/>
        <v>0</v>
      </c>
      <c r="I124" s="339">
        <f t="shared" si="13"/>
        <v>0</v>
      </c>
      <c r="J124" s="162">
        <f t="shared" si="14"/>
        <v>0</v>
      </c>
      <c r="K124" s="162"/>
      <c r="L124" s="330"/>
      <c r="M124" s="162">
        <f t="shared" si="9"/>
        <v>0</v>
      </c>
      <c r="N124" s="330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5"/>
        <v/>
      </c>
      <c r="C125" s="157">
        <f>IF(D93="","-",+C124+1)</f>
        <v>2041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28">
        <f t="shared" si="12"/>
        <v>0</v>
      </c>
      <c r="I125" s="339">
        <f t="shared" si="13"/>
        <v>0</v>
      </c>
      <c r="J125" s="162">
        <f t="shared" si="14"/>
        <v>0</v>
      </c>
      <c r="K125" s="162"/>
      <c r="L125" s="330"/>
      <c r="M125" s="162">
        <f t="shared" si="9"/>
        <v>0</v>
      </c>
      <c r="N125" s="330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5"/>
        <v/>
      </c>
      <c r="C126" s="157">
        <f>IF(D93="","-",+C125+1)</f>
        <v>2042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28">
        <f t="shared" si="12"/>
        <v>0</v>
      </c>
      <c r="I126" s="339">
        <f t="shared" si="13"/>
        <v>0</v>
      </c>
      <c r="J126" s="162">
        <f t="shared" si="14"/>
        <v>0</v>
      </c>
      <c r="K126" s="162"/>
      <c r="L126" s="330"/>
      <c r="M126" s="162">
        <f t="shared" si="9"/>
        <v>0</v>
      </c>
      <c r="N126" s="330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5"/>
        <v/>
      </c>
      <c r="C127" s="157">
        <f>IF(D93="","-",+C126+1)</f>
        <v>2043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28">
        <f t="shared" si="12"/>
        <v>0</v>
      </c>
      <c r="I127" s="339">
        <f t="shared" si="13"/>
        <v>0</v>
      </c>
      <c r="J127" s="162">
        <f t="shared" si="14"/>
        <v>0</v>
      </c>
      <c r="K127" s="162"/>
      <c r="L127" s="330"/>
      <c r="M127" s="162">
        <f t="shared" si="9"/>
        <v>0</v>
      </c>
      <c r="N127" s="330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5"/>
        <v/>
      </c>
      <c r="C128" s="157">
        <f>IF(D93="","-",+C127+1)</f>
        <v>2044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28">
        <f t="shared" si="12"/>
        <v>0</v>
      </c>
      <c r="I128" s="339">
        <f t="shared" si="13"/>
        <v>0</v>
      </c>
      <c r="J128" s="162">
        <f t="shared" si="14"/>
        <v>0</v>
      </c>
      <c r="K128" s="162"/>
      <c r="L128" s="330"/>
      <c r="M128" s="162">
        <f t="shared" si="9"/>
        <v>0</v>
      </c>
      <c r="N128" s="330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5"/>
        <v/>
      </c>
      <c r="C129" s="157">
        <f>IF(D93="","-",+C128+1)</f>
        <v>2045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28">
        <f t="shared" si="12"/>
        <v>0</v>
      </c>
      <c r="I129" s="339">
        <f t="shared" si="13"/>
        <v>0</v>
      </c>
      <c r="J129" s="162">
        <f t="shared" si="14"/>
        <v>0</v>
      </c>
      <c r="K129" s="162"/>
      <c r="L129" s="330"/>
      <c r="M129" s="162">
        <f t="shared" si="9"/>
        <v>0</v>
      </c>
      <c r="N129" s="330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5"/>
        <v/>
      </c>
      <c r="C130" s="157">
        <f>IF(D93="","-",+C129+1)</f>
        <v>2046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28">
        <f t="shared" si="12"/>
        <v>0</v>
      </c>
      <c r="I130" s="339">
        <f t="shared" si="13"/>
        <v>0</v>
      </c>
      <c r="J130" s="162">
        <f t="shared" si="14"/>
        <v>0</v>
      </c>
      <c r="K130" s="162"/>
      <c r="L130" s="330"/>
      <c r="M130" s="162">
        <f t="shared" si="9"/>
        <v>0</v>
      </c>
      <c r="N130" s="330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5"/>
        <v/>
      </c>
      <c r="C131" s="157">
        <f>IF(D93="","-",+C130+1)</f>
        <v>2047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28">
        <f t="shared" si="12"/>
        <v>0</v>
      </c>
      <c r="I131" s="339">
        <f t="shared" si="13"/>
        <v>0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2048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28">
        <f t="shared" si="12"/>
        <v>0</v>
      </c>
      <c r="I132" s="339">
        <f t="shared" si="13"/>
        <v>0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2049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28">
        <f t="shared" si="12"/>
        <v>0</v>
      </c>
      <c r="I133" s="339">
        <f t="shared" si="13"/>
        <v>0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2050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28">
        <f t="shared" si="12"/>
        <v>0</v>
      </c>
      <c r="I134" s="339">
        <f t="shared" si="13"/>
        <v>0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2051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28">
        <f t="shared" si="12"/>
        <v>0</v>
      </c>
      <c r="I135" s="339">
        <f t="shared" si="13"/>
        <v>0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2052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28">
        <f t="shared" si="12"/>
        <v>0</v>
      </c>
      <c r="I136" s="339">
        <f t="shared" si="13"/>
        <v>0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2053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28">
        <f t="shared" si="12"/>
        <v>0</v>
      </c>
      <c r="I137" s="339">
        <f t="shared" si="13"/>
        <v>0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2054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28">
        <f t="shared" si="12"/>
        <v>0</v>
      </c>
      <c r="I138" s="339">
        <f t="shared" si="13"/>
        <v>0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2055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28">
        <f t="shared" si="12"/>
        <v>0</v>
      </c>
      <c r="I139" s="339">
        <f t="shared" si="13"/>
        <v>0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2056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28">
        <f t="shared" si="12"/>
        <v>0</v>
      </c>
      <c r="I140" s="339">
        <f t="shared" si="13"/>
        <v>0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2057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28">
        <f t="shared" si="12"/>
        <v>0</v>
      </c>
      <c r="I141" s="339">
        <f t="shared" si="13"/>
        <v>0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2058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28">
        <f t="shared" si="12"/>
        <v>0</v>
      </c>
      <c r="I142" s="339">
        <f t="shared" si="13"/>
        <v>0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2059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2"/>
        <v>0</v>
      </c>
      <c r="I143" s="339">
        <f t="shared" si="13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2"/>
        <v>0</v>
      </c>
      <c r="I144" s="339">
        <f t="shared" si="13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2"/>
        <v>0</v>
      </c>
      <c r="I145" s="339">
        <f t="shared" si="13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2"/>
        <v>0</v>
      </c>
      <c r="I146" s="339">
        <f t="shared" si="13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2"/>
        <v>0</v>
      </c>
      <c r="I147" s="339">
        <f t="shared" si="13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2"/>
        <v>0</v>
      </c>
      <c r="I148" s="339">
        <f t="shared" si="13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2"/>
        <v>0</v>
      </c>
      <c r="I149" s="339">
        <f t="shared" si="13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2"/>
        <v>0</v>
      </c>
      <c r="I150" s="339">
        <f t="shared" si="13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2"/>
        <v>0</v>
      </c>
      <c r="I151" s="339">
        <f t="shared" si="13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2"/>
        <v>0</v>
      </c>
      <c r="I152" s="339">
        <f t="shared" si="13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2"/>
        <v>0</v>
      </c>
      <c r="I153" s="339">
        <f t="shared" si="13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2070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2"/>
        <v>0</v>
      </c>
      <c r="I154" s="341">
        <f t="shared" si="13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6" zoomScaleNormal="86" workbookViewId="0"/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28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0</v>
      </c>
      <c r="O6" s="1"/>
      <c r="P6" s="1"/>
    </row>
    <row r="7" spans="1:16" ht="13.5" thickBot="1">
      <c r="C7" s="127" t="s">
        <v>46</v>
      </c>
      <c r="D7" s="227" t="s">
        <v>108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/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/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4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2017</v>
      </c>
      <c r="D17" s="158">
        <v>0</v>
      </c>
      <c r="E17" s="159">
        <f>IF(D10&gt;=100000,I$14/12*(12-D12),0)</f>
        <v>0</v>
      </c>
      <c r="F17" s="163">
        <f>IF(D11=C17,+D10-E17,+D17-E17)</f>
        <v>0</v>
      </c>
      <c r="G17" s="159">
        <f>(D17+F17)/2*I$12+E17</f>
        <v>0</v>
      </c>
      <c r="H17" s="147">
        <f>+(D17+F17)/2*I$13+E17</f>
        <v>0</v>
      </c>
      <c r="I17" s="160">
        <f>H17-G17</f>
        <v>0</v>
      </c>
      <c r="J17" s="160"/>
      <c r="K17" s="332"/>
      <c r="L17" s="161">
        <f t="shared" ref="L17:L72" si="0">IF(K17&lt;&gt;0,+G17-K17,0)</f>
        <v>0</v>
      </c>
      <c r="M17" s="332"/>
      <c r="N17" s="161">
        <f t="shared" ref="N17:N72" si="1">IF(M17&lt;&gt;0,+H17-M17,0)</f>
        <v>0</v>
      </c>
      <c r="O17" s="162">
        <f t="shared" ref="O17:O72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166">
        <f>IF(F17+SUM(E$17:E17)=D$10,F17,D$10-SUM(E$17:E17))</f>
        <v>0</v>
      </c>
      <c r="E18" s="164">
        <f>IF(+I$14&lt;F17,I$14,D18)</f>
        <v>0</v>
      </c>
      <c r="F18" s="163">
        <f>+D18-E18</f>
        <v>0</v>
      </c>
      <c r="G18" s="165">
        <f>(D18+F18)/2*I$12+E18</f>
        <v>0</v>
      </c>
      <c r="H18" s="147">
        <f>+(D18+F18)/2*I$13+E18</f>
        <v>0</v>
      </c>
      <c r="I18" s="160">
        <f>H18-G18</f>
        <v>0</v>
      </c>
      <c r="J18" s="160"/>
      <c r="K18" s="330"/>
      <c r="L18" s="162">
        <f t="shared" si="0"/>
        <v>0</v>
      </c>
      <c r="M18" s="330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0</v>
      </c>
      <c r="E19" s="164">
        <f t="shared" ref="E19:E71" si="3">IF(+I$14&lt;F18,I$14,D19)</f>
        <v>0</v>
      </c>
      <c r="F19" s="163">
        <f t="shared" ref="F19:F71" si="4">+D19-E19</f>
        <v>0</v>
      </c>
      <c r="G19" s="165">
        <f t="shared" ref="G19:G71" si="5">(D19+F19)/2*I$12+E19</f>
        <v>0</v>
      </c>
      <c r="H19" s="147">
        <f t="shared" ref="H19:H71" si="6">+(D19+F19)/2*I$13+E19</f>
        <v>0</v>
      </c>
      <c r="I19" s="160">
        <f t="shared" ref="I19:I71" si="7">H19-G19</f>
        <v>0</v>
      </c>
      <c r="J19" s="160"/>
      <c r="K19" s="330"/>
      <c r="L19" s="162">
        <f t="shared" si="0"/>
        <v>0</v>
      </c>
      <c r="M19" s="330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0</v>
      </c>
      <c r="E20" s="164">
        <f t="shared" si="3"/>
        <v>0</v>
      </c>
      <c r="F20" s="163">
        <f t="shared" si="4"/>
        <v>0</v>
      </c>
      <c r="G20" s="165">
        <f t="shared" si="5"/>
        <v>0</v>
      </c>
      <c r="H20" s="147">
        <f t="shared" si="6"/>
        <v>0</v>
      </c>
      <c r="I20" s="160">
        <f t="shared" si="7"/>
        <v>0</v>
      </c>
      <c r="J20" s="160"/>
      <c r="K20" s="330"/>
      <c r="L20" s="162">
        <f t="shared" si="0"/>
        <v>0</v>
      </c>
      <c r="M20" s="330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0</v>
      </c>
      <c r="E21" s="164">
        <f t="shared" si="3"/>
        <v>0</v>
      </c>
      <c r="F21" s="163">
        <f t="shared" si="4"/>
        <v>0</v>
      </c>
      <c r="G21" s="165">
        <f t="shared" si="5"/>
        <v>0</v>
      </c>
      <c r="H21" s="147">
        <f t="shared" si="6"/>
        <v>0</v>
      </c>
      <c r="I21" s="160">
        <f t="shared" si="7"/>
        <v>0</v>
      </c>
      <c r="J21" s="160"/>
      <c r="K21" s="330"/>
      <c r="L21" s="162">
        <f t="shared" si="0"/>
        <v>0</v>
      </c>
      <c r="M21" s="330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0</v>
      </c>
      <c r="E22" s="164">
        <f t="shared" si="3"/>
        <v>0</v>
      </c>
      <c r="F22" s="163">
        <f t="shared" si="4"/>
        <v>0</v>
      </c>
      <c r="G22" s="165">
        <f t="shared" si="5"/>
        <v>0</v>
      </c>
      <c r="H22" s="147">
        <f t="shared" si="6"/>
        <v>0</v>
      </c>
      <c r="I22" s="160">
        <f t="shared" si="7"/>
        <v>0</v>
      </c>
      <c r="J22" s="160"/>
      <c r="K22" s="330"/>
      <c r="L22" s="162">
        <f t="shared" si="0"/>
        <v>0</v>
      </c>
      <c r="M22" s="330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0</v>
      </c>
      <c r="E23" s="164">
        <f t="shared" si="3"/>
        <v>0</v>
      </c>
      <c r="F23" s="163">
        <f t="shared" si="4"/>
        <v>0</v>
      </c>
      <c r="G23" s="165">
        <f t="shared" si="5"/>
        <v>0</v>
      </c>
      <c r="H23" s="147">
        <f t="shared" si="6"/>
        <v>0</v>
      </c>
      <c r="I23" s="160">
        <f t="shared" si="7"/>
        <v>0</v>
      </c>
      <c r="J23" s="160"/>
      <c r="K23" s="330"/>
      <c r="L23" s="162">
        <f t="shared" si="0"/>
        <v>0</v>
      </c>
      <c r="M23" s="330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0</v>
      </c>
      <c r="E24" s="164">
        <f t="shared" si="3"/>
        <v>0</v>
      </c>
      <c r="F24" s="163">
        <f t="shared" si="4"/>
        <v>0</v>
      </c>
      <c r="G24" s="165">
        <f t="shared" si="5"/>
        <v>0</v>
      </c>
      <c r="H24" s="147">
        <f t="shared" si="6"/>
        <v>0</v>
      </c>
      <c r="I24" s="160">
        <f t="shared" si="7"/>
        <v>0</v>
      </c>
      <c r="J24" s="160"/>
      <c r="K24" s="330"/>
      <c r="L24" s="162">
        <f t="shared" si="0"/>
        <v>0</v>
      </c>
      <c r="M24" s="330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0</v>
      </c>
      <c r="E25" s="164">
        <f t="shared" si="3"/>
        <v>0</v>
      </c>
      <c r="F25" s="163">
        <f t="shared" si="4"/>
        <v>0</v>
      </c>
      <c r="G25" s="165">
        <f t="shared" si="5"/>
        <v>0</v>
      </c>
      <c r="H25" s="147">
        <f t="shared" si="6"/>
        <v>0</v>
      </c>
      <c r="I25" s="160">
        <f t="shared" si="7"/>
        <v>0</v>
      </c>
      <c r="J25" s="160"/>
      <c r="K25" s="330"/>
      <c r="L25" s="162">
        <f t="shared" si="0"/>
        <v>0</v>
      </c>
      <c r="M25" s="330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0</v>
      </c>
      <c r="E26" s="164">
        <f t="shared" si="3"/>
        <v>0</v>
      </c>
      <c r="F26" s="163">
        <f t="shared" si="4"/>
        <v>0</v>
      </c>
      <c r="G26" s="165">
        <f t="shared" si="5"/>
        <v>0</v>
      </c>
      <c r="H26" s="147">
        <f t="shared" si="6"/>
        <v>0</v>
      </c>
      <c r="I26" s="160">
        <f t="shared" si="7"/>
        <v>0</v>
      </c>
      <c r="J26" s="160"/>
      <c r="K26" s="330"/>
      <c r="L26" s="162">
        <f t="shared" si="0"/>
        <v>0</v>
      </c>
      <c r="M26" s="330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0</v>
      </c>
      <c r="E27" s="164">
        <f t="shared" si="3"/>
        <v>0</v>
      </c>
      <c r="F27" s="163">
        <f t="shared" si="4"/>
        <v>0</v>
      </c>
      <c r="G27" s="165">
        <f t="shared" si="5"/>
        <v>0</v>
      </c>
      <c r="H27" s="147">
        <f t="shared" si="6"/>
        <v>0</v>
      </c>
      <c r="I27" s="160">
        <f t="shared" si="7"/>
        <v>0</v>
      </c>
      <c r="J27" s="160"/>
      <c r="K27" s="330"/>
      <c r="L27" s="162">
        <f t="shared" si="0"/>
        <v>0</v>
      </c>
      <c r="M27" s="330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0</v>
      </c>
      <c r="E28" s="164">
        <f t="shared" si="3"/>
        <v>0</v>
      </c>
      <c r="F28" s="163">
        <f t="shared" si="4"/>
        <v>0</v>
      </c>
      <c r="G28" s="165">
        <f t="shared" si="5"/>
        <v>0</v>
      </c>
      <c r="H28" s="147">
        <f t="shared" si="6"/>
        <v>0</v>
      </c>
      <c r="I28" s="160">
        <f t="shared" si="7"/>
        <v>0</v>
      </c>
      <c r="J28" s="160"/>
      <c r="K28" s="330"/>
      <c r="L28" s="162">
        <f t="shared" si="0"/>
        <v>0</v>
      </c>
      <c r="M28" s="330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0</v>
      </c>
      <c r="E29" s="164">
        <f t="shared" si="3"/>
        <v>0</v>
      </c>
      <c r="F29" s="163">
        <f t="shared" si="4"/>
        <v>0</v>
      </c>
      <c r="G29" s="165">
        <f t="shared" si="5"/>
        <v>0</v>
      </c>
      <c r="H29" s="147">
        <f t="shared" si="6"/>
        <v>0</v>
      </c>
      <c r="I29" s="160">
        <f t="shared" si="7"/>
        <v>0</v>
      </c>
      <c r="J29" s="160"/>
      <c r="K29" s="330"/>
      <c r="L29" s="162">
        <f t="shared" si="0"/>
        <v>0</v>
      </c>
      <c r="M29" s="330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0</v>
      </c>
      <c r="E30" s="164">
        <f t="shared" si="3"/>
        <v>0</v>
      </c>
      <c r="F30" s="163">
        <f t="shared" si="4"/>
        <v>0</v>
      </c>
      <c r="G30" s="165">
        <f t="shared" si="5"/>
        <v>0</v>
      </c>
      <c r="H30" s="147">
        <f t="shared" si="6"/>
        <v>0</v>
      </c>
      <c r="I30" s="160">
        <f t="shared" si="7"/>
        <v>0</v>
      </c>
      <c r="J30" s="160"/>
      <c r="K30" s="330"/>
      <c r="L30" s="162">
        <f t="shared" si="0"/>
        <v>0</v>
      </c>
      <c r="M30" s="330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0</v>
      </c>
      <c r="E31" s="164">
        <f t="shared" si="3"/>
        <v>0</v>
      </c>
      <c r="F31" s="163">
        <f t="shared" si="4"/>
        <v>0</v>
      </c>
      <c r="G31" s="165">
        <f t="shared" si="5"/>
        <v>0</v>
      </c>
      <c r="H31" s="147">
        <f t="shared" si="6"/>
        <v>0</v>
      </c>
      <c r="I31" s="160">
        <f t="shared" si="7"/>
        <v>0</v>
      </c>
      <c r="J31" s="160"/>
      <c r="K31" s="330"/>
      <c r="L31" s="162">
        <f t="shared" si="0"/>
        <v>0</v>
      </c>
      <c r="M31" s="330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0</v>
      </c>
      <c r="E32" s="164">
        <f t="shared" si="3"/>
        <v>0</v>
      </c>
      <c r="F32" s="163">
        <f t="shared" si="4"/>
        <v>0</v>
      </c>
      <c r="G32" s="165">
        <f t="shared" si="5"/>
        <v>0</v>
      </c>
      <c r="H32" s="147">
        <f t="shared" si="6"/>
        <v>0</v>
      </c>
      <c r="I32" s="160">
        <f t="shared" si="7"/>
        <v>0</v>
      </c>
      <c r="J32" s="160"/>
      <c r="K32" s="330"/>
      <c r="L32" s="162">
        <f t="shared" si="0"/>
        <v>0</v>
      </c>
      <c r="M32" s="330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0</v>
      </c>
      <c r="E33" s="164">
        <f t="shared" si="3"/>
        <v>0</v>
      </c>
      <c r="F33" s="163">
        <f t="shared" si="4"/>
        <v>0</v>
      </c>
      <c r="G33" s="165">
        <f t="shared" si="5"/>
        <v>0</v>
      </c>
      <c r="H33" s="147">
        <f t="shared" si="6"/>
        <v>0</v>
      </c>
      <c r="I33" s="160">
        <f t="shared" si="7"/>
        <v>0</v>
      </c>
      <c r="J33" s="160"/>
      <c r="K33" s="330"/>
      <c r="L33" s="162">
        <f t="shared" si="0"/>
        <v>0</v>
      </c>
      <c r="M33" s="330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0</v>
      </c>
      <c r="E34" s="164">
        <f t="shared" si="3"/>
        <v>0</v>
      </c>
      <c r="F34" s="163">
        <f t="shared" si="4"/>
        <v>0</v>
      </c>
      <c r="G34" s="165">
        <f t="shared" si="5"/>
        <v>0</v>
      </c>
      <c r="H34" s="147">
        <f t="shared" si="6"/>
        <v>0</v>
      </c>
      <c r="I34" s="160">
        <f t="shared" si="7"/>
        <v>0</v>
      </c>
      <c r="J34" s="160"/>
      <c r="K34" s="330"/>
      <c r="L34" s="162">
        <f t="shared" si="0"/>
        <v>0</v>
      </c>
      <c r="M34" s="330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0</v>
      </c>
      <c r="E35" s="164">
        <f t="shared" si="3"/>
        <v>0</v>
      </c>
      <c r="F35" s="163">
        <f t="shared" si="4"/>
        <v>0</v>
      </c>
      <c r="G35" s="165">
        <f t="shared" si="5"/>
        <v>0</v>
      </c>
      <c r="H35" s="147">
        <f t="shared" si="6"/>
        <v>0</v>
      </c>
      <c r="I35" s="160">
        <f t="shared" si="7"/>
        <v>0</v>
      </c>
      <c r="J35" s="160"/>
      <c r="K35" s="330"/>
      <c r="L35" s="162">
        <f t="shared" si="0"/>
        <v>0</v>
      </c>
      <c r="M35" s="330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0</v>
      </c>
      <c r="E36" s="164">
        <f t="shared" si="3"/>
        <v>0</v>
      </c>
      <c r="F36" s="163">
        <f t="shared" si="4"/>
        <v>0</v>
      </c>
      <c r="G36" s="165">
        <f t="shared" si="5"/>
        <v>0</v>
      </c>
      <c r="H36" s="147">
        <f t="shared" si="6"/>
        <v>0</v>
      </c>
      <c r="I36" s="160">
        <f t="shared" si="7"/>
        <v>0</v>
      </c>
      <c r="J36" s="160"/>
      <c r="K36" s="330"/>
      <c r="L36" s="162">
        <f t="shared" si="0"/>
        <v>0</v>
      </c>
      <c r="M36" s="330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0</v>
      </c>
      <c r="E37" s="164">
        <f t="shared" si="3"/>
        <v>0</v>
      </c>
      <c r="F37" s="163">
        <f t="shared" si="4"/>
        <v>0</v>
      </c>
      <c r="G37" s="165">
        <f t="shared" si="5"/>
        <v>0</v>
      </c>
      <c r="H37" s="147">
        <f t="shared" si="6"/>
        <v>0</v>
      </c>
      <c r="I37" s="160">
        <f t="shared" si="7"/>
        <v>0</v>
      </c>
      <c r="J37" s="160"/>
      <c r="K37" s="330"/>
      <c r="L37" s="162">
        <f t="shared" si="0"/>
        <v>0</v>
      </c>
      <c r="M37" s="330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0</v>
      </c>
      <c r="E38" s="164">
        <f t="shared" si="3"/>
        <v>0</v>
      </c>
      <c r="F38" s="163">
        <f t="shared" si="4"/>
        <v>0</v>
      </c>
      <c r="G38" s="165">
        <f t="shared" si="5"/>
        <v>0</v>
      </c>
      <c r="H38" s="147">
        <f t="shared" si="6"/>
        <v>0</v>
      </c>
      <c r="I38" s="160">
        <f t="shared" si="7"/>
        <v>0</v>
      </c>
      <c r="J38" s="160"/>
      <c r="K38" s="330"/>
      <c r="L38" s="162">
        <f t="shared" si="0"/>
        <v>0</v>
      </c>
      <c r="M38" s="330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0</v>
      </c>
      <c r="E39" s="164">
        <f t="shared" si="3"/>
        <v>0</v>
      </c>
      <c r="F39" s="163">
        <f t="shared" si="4"/>
        <v>0</v>
      </c>
      <c r="G39" s="165">
        <f t="shared" si="5"/>
        <v>0</v>
      </c>
      <c r="H39" s="147">
        <f t="shared" si="6"/>
        <v>0</v>
      </c>
      <c r="I39" s="160">
        <f t="shared" si="7"/>
        <v>0</v>
      </c>
      <c r="J39" s="160"/>
      <c r="K39" s="330"/>
      <c r="L39" s="162">
        <f t="shared" si="0"/>
        <v>0</v>
      </c>
      <c r="M39" s="330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0</v>
      </c>
      <c r="E40" s="164">
        <f t="shared" si="3"/>
        <v>0</v>
      </c>
      <c r="F40" s="163">
        <f t="shared" si="4"/>
        <v>0</v>
      </c>
      <c r="G40" s="165">
        <f t="shared" si="5"/>
        <v>0</v>
      </c>
      <c r="H40" s="147">
        <f t="shared" si="6"/>
        <v>0</v>
      </c>
      <c r="I40" s="160">
        <f t="shared" si="7"/>
        <v>0</v>
      </c>
      <c r="J40" s="160"/>
      <c r="K40" s="330"/>
      <c r="L40" s="162">
        <f t="shared" si="0"/>
        <v>0</v>
      </c>
      <c r="M40" s="330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0</v>
      </c>
      <c r="E41" s="164">
        <f t="shared" si="3"/>
        <v>0</v>
      </c>
      <c r="F41" s="163">
        <f t="shared" si="4"/>
        <v>0</v>
      </c>
      <c r="G41" s="165">
        <f t="shared" si="5"/>
        <v>0</v>
      </c>
      <c r="H41" s="147">
        <f t="shared" si="6"/>
        <v>0</v>
      </c>
      <c r="I41" s="160">
        <f t="shared" si="7"/>
        <v>0</v>
      </c>
      <c r="J41" s="160"/>
      <c r="K41" s="330"/>
      <c r="L41" s="162">
        <f t="shared" si="0"/>
        <v>0</v>
      </c>
      <c r="M41" s="330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0</v>
      </c>
      <c r="E42" s="164">
        <f t="shared" si="3"/>
        <v>0</v>
      </c>
      <c r="F42" s="163">
        <f t="shared" si="4"/>
        <v>0</v>
      </c>
      <c r="G42" s="165">
        <f t="shared" si="5"/>
        <v>0</v>
      </c>
      <c r="H42" s="147">
        <f t="shared" si="6"/>
        <v>0</v>
      </c>
      <c r="I42" s="160">
        <f t="shared" si="7"/>
        <v>0</v>
      </c>
      <c r="J42" s="160"/>
      <c r="K42" s="330"/>
      <c r="L42" s="162">
        <f t="shared" si="0"/>
        <v>0</v>
      </c>
      <c r="M42" s="330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0</v>
      </c>
      <c r="E43" s="164">
        <f t="shared" si="3"/>
        <v>0</v>
      </c>
      <c r="F43" s="163">
        <f t="shared" si="4"/>
        <v>0</v>
      </c>
      <c r="G43" s="165">
        <f t="shared" si="5"/>
        <v>0</v>
      </c>
      <c r="H43" s="147">
        <f t="shared" si="6"/>
        <v>0</v>
      </c>
      <c r="I43" s="160">
        <f t="shared" si="7"/>
        <v>0</v>
      </c>
      <c r="J43" s="160"/>
      <c r="K43" s="330"/>
      <c r="L43" s="162">
        <f t="shared" si="0"/>
        <v>0</v>
      </c>
      <c r="M43" s="330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0</v>
      </c>
      <c r="E44" s="164">
        <f t="shared" si="3"/>
        <v>0</v>
      </c>
      <c r="F44" s="163">
        <f t="shared" si="4"/>
        <v>0</v>
      </c>
      <c r="G44" s="165">
        <f t="shared" si="5"/>
        <v>0</v>
      </c>
      <c r="H44" s="147">
        <f t="shared" si="6"/>
        <v>0</v>
      </c>
      <c r="I44" s="160">
        <f t="shared" si="7"/>
        <v>0</v>
      </c>
      <c r="J44" s="160"/>
      <c r="K44" s="330"/>
      <c r="L44" s="162">
        <f t="shared" si="0"/>
        <v>0</v>
      </c>
      <c r="M44" s="330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0</v>
      </c>
      <c r="E45" s="164">
        <f t="shared" si="3"/>
        <v>0</v>
      </c>
      <c r="F45" s="163">
        <f t="shared" si="4"/>
        <v>0</v>
      </c>
      <c r="G45" s="165">
        <f t="shared" si="5"/>
        <v>0</v>
      </c>
      <c r="H45" s="147">
        <f t="shared" si="6"/>
        <v>0</v>
      </c>
      <c r="I45" s="160">
        <f t="shared" si="7"/>
        <v>0</v>
      </c>
      <c r="J45" s="160"/>
      <c r="K45" s="330"/>
      <c r="L45" s="162">
        <f t="shared" si="0"/>
        <v>0</v>
      </c>
      <c r="M45" s="330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0</v>
      </c>
      <c r="E46" s="164">
        <f t="shared" si="3"/>
        <v>0</v>
      </c>
      <c r="F46" s="163">
        <f t="shared" si="4"/>
        <v>0</v>
      </c>
      <c r="G46" s="165">
        <f t="shared" si="5"/>
        <v>0</v>
      </c>
      <c r="H46" s="147">
        <f t="shared" si="6"/>
        <v>0</v>
      </c>
      <c r="I46" s="160">
        <f t="shared" si="7"/>
        <v>0</v>
      </c>
      <c r="J46" s="160"/>
      <c r="K46" s="330"/>
      <c r="L46" s="162">
        <f t="shared" si="0"/>
        <v>0</v>
      </c>
      <c r="M46" s="330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0</v>
      </c>
      <c r="E47" s="164">
        <f t="shared" si="3"/>
        <v>0</v>
      </c>
      <c r="F47" s="163">
        <f t="shared" si="4"/>
        <v>0</v>
      </c>
      <c r="G47" s="165">
        <f t="shared" si="5"/>
        <v>0</v>
      </c>
      <c r="H47" s="147">
        <f t="shared" si="6"/>
        <v>0</v>
      </c>
      <c r="I47" s="160">
        <f t="shared" si="7"/>
        <v>0</v>
      </c>
      <c r="J47" s="160"/>
      <c r="K47" s="330"/>
      <c r="L47" s="162">
        <f t="shared" si="0"/>
        <v>0</v>
      </c>
      <c r="M47" s="330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0</v>
      </c>
      <c r="E48" s="164">
        <f t="shared" si="3"/>
        <v>0</v>
      </c>
      <c r="F48" s="163">
        <f t="shared" si="4"/>
        <v>0</v>
      </c>
      <c r="G48" s="165">
        <f t="shared" si="5"/>
        <v>0</v>
      </c>
      <c r="H48" s="147">
        <f t="shared" si="6"/>
        <v>0</v>
      </c>
      <c r="I48" s="160">
        <f t="shared" si="7"/>
        <v>0</v>
      </c>
      <c r="J48" s="160"/>
      <c r="K48" s="330"/>
      <c r="L48" s="162">
        <f t="shared" si="0"/>
        <v>0</v>
      </c>
      <c r="M48" s="330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0</v>
      </c>
      <c r="E49" s="164">
        <f t="shared" si="3"/>
        <v>0</v>
      </c>
      <c r="F49" s="163">
        <f t="shared" si="4"/>
        <v>0</v>
      </c>
      <c r="G49" s="165">
        <f t="shared" si="5"/>
        <v>0</v>
      </c>
      <c r="H49" s="147">
        <f t="shared" si="6"/>
        <v>0</v>
      </c>
      <c r="I49" s="160">
        <f t="shared" si="7"/>
        <v>0</v>
      </c>
      <c r="J49" s="160"/>
      <c r="K49" s="330"/>
      <c r="L49" s="162">
        <f t="shared" si="0"/>
        <v>0</v>
      </c>
      <c r="M49" s="330"/>
      <c r="N49" s="162">
        <f t="shared" si="1"/>
        <v>0</v>
      </c>
      <c r="O49" s="162">
        <f t="shared" si="2"/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0</v>
      </c>
      <c r="E50" s="164">
        <f t="shared" si="3"/>
        <v>0</v>
      </c>
      <c r="F50" s="163">
        <f t="shared" si="4"/>
        <v>0</v>
      </c>
      <c r="G50" s="165">
        <f t="shared" si="5"/>
        <v>0</v>
      </c>
      <c r="H50" s="147">
        <f t="shared" si="6"/>
        <v>0</v>
      </c>
      <c r="I50" s="160">
        <f t="shared" si="7"/>
        <v>0</v>
      </c>
      <c r="J50" s="160"/>
      <c r="K50" s="330"/>
      <c r="L50" s="162">
        <f t="shared" si="0"/>
        <v>0</v>
      </c>
      <c r="M50" s="330"/>
      <c r="N50" s="162">
        <f t="shared" si="1"/>
        <v>0</v>
      </c>
      <c r="O50" s="162">
        <f t="shared" si="2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0</v>
      </c>
      <c r="E51" s="164">
        <f t="shared" si="3"/>
        <v>0</v>
      </c>
      <c r="F51" s="163">
        <f t="shared" si="4"/>
        <v>0</v>
      </c>
      <c r="G51" s="165">
        <f t="shared" si="5"/>
        <v>0</v>
      </c>
      <c r="H51" s="147">
        <f t="shared" si="6"/>
        <v>0</v>
      </c>
      <c r="I51" s="160">
        <f t="shared" si="7"/>
        <v>0</v>
      </c>
      <c r="J51" s="160"/>
      <c r="K51" s="330"/>
      <c r="L51" s="162">
        <f t="shared" si="0"/>
        <v>0</v>
      </c>
      <c r="M51" s="330"/>
      <c r="N51" s="162">
        <f t="shared" si="1"/>
        <v>0</v>
      </c>
      <c r="O51" s="162">
        <f t="shared" si="2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0</v>
      </c>
      <c r="E52" s="164">
        <f t="shared" si="3"/>
        <v>0</v>
      </c>
      <c r="F52" s="163">
        <f t="shared" si="4"/>
        <v>0</v>
      </c>
      <c r="G52" s="165">
        <f t="shared" si="5"/>
        <v>0</v>
      </c>
      <c r="H52" s="147">
        <f t="shared" si="6"/>
        <v>0</v>
      </c>
      <c r="I52" s="160">
        <f t="shared" si="7"/>
        <v>0</v>
      </c>
      <c r="J52" s="160"/>
      <c r="K52" s="330"/>
      <c r="L52" s="162">
        <f t="shared" si="0"/>
        <v>0</v>
      </c>
      <c r="M52" s="330"/>
      <c r="N52" s="162">
        <f t="shared" si="1"/>
        <v>0</v>
      </c>
      <c r="O52" s="162">
        <f t="shared" si="2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0</v>
      </c>
      <c r="E53" s="164">
        <f t="shared" si="3"/>
        <v>0</v>
      </c>
      <c r="F53" s="163">
        <f t="shared" si="4"/>
        <v>0</v>
      </c>
      <c r="G53" s="165">
        <f t="shared" si="5"/>
        <v>0</v>
      </c>
      <c r="H53" s="147">
        <f t="shared" si="6"/>
        <v>0</v>
      </c>
      <c r="I53" s="160">
        <f t="shared" si="7"/>
        <v>0</v>
      </c>
      <c r="J53" s="160"/>
      <c r="K53" s="330"/>
      <c r="L53" s="162">
        <f t="shared" si="0"/>
        <v>0</v>
      </c>
      <c r="M53" s="330"/>
      <c r="N53" s="162">
        <f t="shared" si="1"/>
        <v>0</v>
      </c>
      <c r="O53" s="162">
        <f t="shared" si="2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0</v>
      </c>
      <c r="E54" s="164">
        <f t="shared" si="3"/>
        <v>0</v>
      </c>
      <c r="F54" s="163">
        <f t="shared" si="4"/>
        <v>0</v>
      </c>
      <c r="G54" s="165">
        <f t="shared" si="5"/>
        <v>0</v>
      </c>
      <c r="H54" s="147">
        <f t="shared" si="6"/>
        <v>0</v>
      </c>
      <c r="I54" s="160">
        <f t="shared" si="7"/>
        <v>0</v>
      </c>
      <c r="J54" s="160"/>
      <c r="K54" s="330"/>
      <c r="L54" s="162">
        <f t="shared" si="0"/>
        <v>0</v>
      </c>
      <c r="M54" s="330"/>
      <c r="N54" s="162">
        <f t="shared" si="1"/>
        <v>0</v>
      </c>
      <c r="O54" s="162">
        <f t="shared" si="2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0</v>
      </c>
      <c r="E55" s="164">
        <f t="shared" si="3"/>
        <v>0</v>
      </c>
      <c r="F55" s="163">
        <f t="shared" si="4"/>
        <v>0</v>
      </c>
      <c r="G55" s="165">
        <f t="shared" si="5"/>
        <v>0</v>
      </c>
      <c r="H55" s="147">
        <f t="shared" si="6"/>
        <v>0</v>
      </c>
      <c r="I55" s="160">
        <f t="shared" si="7"/>
        <v>0</v>
      </c>
      <c r="J55" s="160"/>
      <c r="K55" s="330"/>
      <c r="L55" s="162">
        <f t="shared" si="0"/>
        <v>0</v>
      </c>
      <c r="M55" s="330"/>
      <c r="N55" s="162">
        <f t="shared" si="1"/>
        <v>0</v>
      </c>
      <c r="O55" s="162">
        <f t="shared" si="2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0</v>
      </c>
      <c r="E56" s="164">
        <f t="shared" si="3"/>
        <v>0</v>
      </c>
      <c r="F56" s="163">
        <f t="shared" si="4"/>
        <v>0</v>
      </c>
      <c r="G56" s="165">
        <f t="shared" si="5"/>
        <v>0</v>
      </c>
      <c r="H56" s="147">
        <f t="shared" si="6"/>
        <v>0</v>
      </c>
      <c r="I56" s="160">
        <f t="shared" si="7"/>
        <v>0</v>
      </c>
      <c r="J56" s="160"/>
      <c r="K56" s="330"/>
      <c r="L56" s="162">
        <f t="shared" si="0"/>
        <v>0</v>
      </c>
      <c r="M56" s="330"/>
      <c r="N56" s="162">
        <f t="shared" si="1"/>
        <v>0</v>
      </c>
      <c r="O56" s="162">
        <f t="shared" si="2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0</v>
      </c>
      <c r="E57" s="164">
        <f t="shared" si="3"/>
        <v>0</v>
      </c>
      <c r="F57" s="163">
        <f t="shared" si="4"/>
        <v>0</v>
      </c>
      <c r="G57" s="165">
        <f t="shared" si="5"/>
        <v>0</v>
      </c>
      <c r="H57" s="147">
        <f t="shared" si="6"/>
        <v>0</v>
      </c>
      <c r="I57" s="160">
        <f t="shared" si="7"/>
        <v>0</v>
      </c>
      <c r="J57" s="160"/>
      <c r="K57" s="330"/>
      <c r="L57" s="162">
        <f t="shared" si="0"/>
        <v>0</v>
      </c>
      <c r="M57" s="330"/>
      <c r="N57" s="162">
        <f t="shared" si="1"/>
        <v>0</v>
      </c>
      <c r="O57" s="162">
        <f t="shared" si="2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3"/>
        <v>0</v>
      </c>
      <c r="F58" s="163">
        <f t="shared" si="4"/>
        <v>0</v>
      </c>
      <c r="G58" s="165">
        <f t="shared" si="5"/>
        <v>0</v>
      </c>
      <c r="H58" s="147">
        <f t="shared" si="6"/>
        <v>0</v>
      </c>
      <c r="I58" s="160">
        <f t="shared" si="7"/>
        <v>0</v>
      </c>
      <c r="J58" s="160"/>
      <c r="K58" s="330"/>
      <c r="L58" s="162">
        <f t="shared" si="0"/>
        <v>0</v>
      </c>
      <c r="M58" s="330"/>
      <c r="N58" s="162">
        <f t="shared" si="1"/>
        <v>0</v>
      </c>
      <c r="O58" s="162">
        <f t="shared" si="2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3"/>
        <v>0</v>
      </c>
      <c r="F59" s="163">
        <f t="shared" si="4"/>
        <v>0</v>
      </c>
      <c r="G59" s="165">
        <f t="shared" si="5"/>
        <v>0</v>
      </c>
      <c r="H59" s="147">
        <f t="shared" si="6"/>
        <v>0</v>
      </c>
      <c r="I59" s="160">
        <f t="shared" si="7"/>
        <v>0</v>
      </c>
      <c r="J59" s="160"/>
      <c r="K59" s="330"/>
      <c r="L59" s="162">
        <f t="shared" si="0"/>
        <v>0</v>
      </c>
      <c r="M59" s="330"/>
      <c r="N59" s="162">
        <f t="shared" si="1"/>
        <v>0</v>
      </c>
      <c r="O59" s="162">
        <f t="shared" si="2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3"/>
        <v>0</v>
      </c>
      <c r="F60" s="163">
        <f t="shared" si="4"/>
        <v>0</v>
      </c>
      <c r="G60" s="165">
        <f t="shared" si="5"/>
        <v>0</v>
      </c>
      <c r="H60" s="147">
        <f t="shared" si="6"/>
        <v>0</v>
      </c>
      <c r="I60" s="160">
        <f t="shared" si="7"/>
        <v>0</v>
      </c>
      <c r="J60" s="160"/>
      <c r="K60" s="330"/>
      <c r="L60" s="162">
        <f t="shared" si="0"/>
        <v>0</v>
      </c>
      <c r="M60" s="330"/>
      <c r="N60" s="162">
        <f t="shared" si="1"/>
        <v>0</v>
      </c>
      <c r="O60" s="162">
        <f t="shared" si="2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3"/>
        <v>0</v>
      </c>
      <c r="F61" s="163">
        <f t="shared" si="4"/>
        <v>0</v>
      </c>
      <c r="G61" s="165">
        <f t="shared" si="5"/>
        <v>0</v>
      </c>
      <c r="H61" s="147">
        <f t="shared" si="6"/>
        <v>0</v>
      </c>
      <c r="I61" s="160">
        <f t="shared" si="7"/>
        <v>0</v>
      </c>
      <c r="J61" s="160"/>
      <c r="K61" s="330"/>
      <c r="L61" s="162">
        <f t="shared" si="0"/>
        <v>0</v>
      </c>
      <c r="M61" s="330"/>
      <c r="N61" s="162">
        <f t="shared" si="1"/>
        <v>0</v>
      </c>
      <c r="O61" s="162">
        <f t="shared" si="2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3"/>
        <v>0</v>
      </c>
      <c r="F62" s="163">
        <f t="shared" si="4"/>
        <v>0</v>
      </c>
      <c r="G62" s="165">
        <f t="shared" si="5"/>
        <v>0</v>
      </c>
      <c r="H62" s="147">
        <f t="shared" si="6"/>
        <v>0</v>
      </c>
      <c r="I62" s="160">
        <f t="shared" si="7"/>
        <v>0</v>
      </c>
      <c r="J62" s="160"/>
      <c r="K62" s="330"/>
      <c r="L62" s="162">
        <f t="shared" si="0"/>
        <v>0</v>
      </c>
      <c r="M62" s="330"/>
      <c r="N62" s="162">
        <f t="shared" si="1"/>
        <v>0</v>
      </c>
      <c r="O62" s="162">
        <f t="shared" si="2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0"/>
      <c r="L63" s="162">
        <f t="shared" si="0"/>
        <v>0</v>
      </c>
      <c r="M63" s="330"/>
      <c r="N63" s="162">
        <f t="shared" si="1"/>
        <v>0</v>
      </c>
      <c r="O63" s="162">
        <f t="shared" si="2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0"/>
      <c r="L64" s="162">
        <f t="shared" si="0"/>
        <v>0</v>
      </c>
      <c r="M64" s="330"/>
      <c r="N64" s="162">
        <f t="shared" si="1"/>
        <v>0</v>
      </c>
      <c r="O64" s="162">
        <f t="shared" si="2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0"/>
      <c r="L65" s="162">
        <f t="shared" si="0"/>
        <v>0</v>
      </c>
      <c r="M65" s="330"/>
      <c r="N65" s="162">
        <f t="shared" si="1"/>
        <v>0</v>
      </c>
      <c r="O65" s="162">
        <f t="shared" si="2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0"/>
      <c r="L66" s="162">
        <f t="shared" si="0"/>
        <v>0</v>
      </c>
      <c r="M66" s="330"/>
      <c r="N66" s="162">
        <f t="shared" si="1"/>
        <v>0</v>
      </c>
      <c r="O66" s="162">
        <f t="shared" si="2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0"/>
      <c r="L67" s="162">
        <f t="shared" si="0"/>
        <v>0</v>
      </c>
      <c r="M67" s="330"/>
      <c r="N67" s="162">
        <f t="shared" si="1"/>
        <v>0</v>
      </c>
      <c r="O67" s="162">
        <f t="shared" si="2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0"/>
      <c r="L68" s="162">
        <f t="shared" si="0"/>
        <v>0</v>
      </c>
      <c r="M68" s="330"/>
      <c r="N68" s="162">
        <f t="shared" si="1"/>
        <v>0</v>
      </c>
      <c r="O68" s="162">
        <f t="shared" si="2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0"/>
      <c r="L69" s="162">
        <f t="shared" si="0"/>
        <v>0</v>
      </c>
      <c r="M69" s="330"/>
      <c r="N69" s="162">
        <f t="shared" si="1"/>
        <v>0</v>
      </c>
      <c r="O69" s="162">
        <f t="shared" si="2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0"/>
      <c r="L70" s="162">
        <f t="shared" si="0"/>
        <v>0</v>
      </c>
      <c r="M70" s="330"/>
      <c r="N70" s="162">
        <f t="shared" si="1"/>
        <v>0</v>
      </c>
      <c r="O70" s="162">
        <f t="shared" si="2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0"/>
      <c r="L71" s="162">
        <f t="shared" si="0"/>
        <v>0</v>
      </c>
      <c r="M71" s="330"/>
      <c r="N71" s="162">
        <f t="shared" si="1"/>
        <v>0</v>
      </c>
      <c r="O71" s="162">
        <f t="shared" si="2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36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2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1"/>
      <c r="L72" s="173">
        <f t="shared" si="0"/>
        <v>0</v>
      </c>
      <c r="M72" s="331"/>
      <c r="N72" s="173">
        <f t="shared" si="1"/>
        <v>0</v>
      </c>
      <c r="O72" s="173">
        <f t="shared" si="2"/>
        <v>0</v>
      </c>
      <c r="P72" s="4"/>
    </row>
    <row r="73" spans="2:16">
      <c r="C73" s="158" t="s">
        <v>77</v>
      </c>
      <c r="D73" s="115"/>
      <c r="E73" s="115">
        <f>SUM(E17:E72)</f>
        <v>0</v>
      </c>
      <c r="F73" s="115"/>
      <c r="G73" s="115">
        <f>SUM(G17:G72)</f>
        <v>0</v>
      </c>
      <c r="H73" s="115">
        <f>SUM(H17:H72)</f>
        <v>0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28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inset project name here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f>IF(D11=I10,0,D10)</f>
        <v>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2015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4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2015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>+J$94*G99+E99</f>
        <v>0</v>
      </c>
      <c r="I99" s="218">
        <f>+J$95*G99+E99</f>
        <v>0</v>
      </c>
      <c r="J99" s="162">
        <f>+I99-H99</f>
        <v>0</v>
      </c>
      <c r="K99" s="162"/>
      <c r="L99" s="329"/>
      <c r="M99" s="161">
        <f t="shared" ref="M99:M130" si="9">IF(L99&lt;&gt;0,+H99-L99,0)</f>
        <v>0</v>
      </c>
      <c r="N99" s="329"/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/>
      </c>
      <c r="C100" s="157">
        <f>IF(D93="","-",+C99+1)</f>
        <v>2016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28">
        <f t="shared" ref="H100:H154" si="12">+J$94*G100+E100</f>
        <v>0</v>
      </c>
      <c r="I100" s="339">
        <f t="shared" ref="I100:I154" si="13">+J$95*G100+E100</f>
        <v>0</v>
      </c>
      <c r="J100" s="162">
        <f t="shared" ref="J100:J130" si="14">+I100-H100</f>
        <v>0</v>
      </c>
      <c r="K100" s="162"/>
      <c r="L100" s="330"/>
      <c r="M100" s="162">
        <f t="shared" si="9"/>
        <v>0</v>
      </c>
      <c r="N100" s="330"/>
      <c r="O100" s="162">
        <f t="shared" si="10"/>
        <v>0</v>
      </c>
      <c r="P100" s="162">
        <f t="shared" si="11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2017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28">
        <f t="shared" si="12"/>
        <v>0</v>
      </c>
      <c r="I101" s="339">
        <f t="shared" si="13"/>
        <v>0</v>
      </c>
      <c r="J101" s="162">
        <f t="shared" si="14"/>
        <v>0</v>
      </c>
      <c r="K101" s="162"/>
      <c r="L101" s="330"/>
      <c r="M101" s="162">
        <f t="shared" si="9"/>
        <v>0</v>
      </c>
      <c r="N101" s="330"/>
      <c r="O101" s="162">
        <f t="shared" si="10"/>
        <v>0</v>
      </c>
      <c r="P101" s="162">
        <f t="shared" si="11"/>
        <v>0</v>
      </c>
    </row>
    <row r="102" spans="1:16">
      <c r="B102" s="9" t="str">
        <f t="shared" si="15"/>
        <v/>
      </c>
      <c r="C102" s="157">
        <f>IF(D93="","-",+C101+1)</f>
        <v>2018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28">
        <f t="shared" si="12"/>
        <v>0</v>
      </c>
      <c r="I102" s="339">
        <f t="shared" si="13"/>
        <v>0</v>
      </c>
      <c r="J102" s="162">
        <f t="shared" si="14"/>
        <v>0</v>
      </c>
      <c r="K102" s="162"/>
      <c r="L102" s="330"/>
      <c r="M102" s="162">
        <f t="shared" si="9"/>
        <v>0</v>
      </c>
      <c r="N102" s="330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5"/>
        <v/>
      </c>
      <c r="C103" s="157">
        <f>IF(D93="","-",+C102+1)</f>
        <v>2019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28">
        <f t="shared" si="12"/>
        <v>0</v>
      </c>
      <c r="I103" s="339">
        <f t="shared" si="13"/>
        <v>0</v>
      </c>
      <c r="J103" s="162">
        <f t="shared" si="14"/>
        <v>0</v>
      </c>
      <c r="K103" s="162"/>
      <c r="L103" s="330"/>
      <c r="M103" s="162">
        <f t="shared" si="9"/>
        <v>0</v>
      </c>
      <c r="N103" s="330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5"/>
        <v/>
      </c>
      <c r="C104" s="157">
        <f>IF(D93="","-",+C103+1)</f>
        <v>2020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28">
        <f t="shared" si="12"/>
        <v>0</v>
      </c>
      <c r="I104" s="339">
        <f t="shared" si="13"/>
        <v>0</v>
      </c>
      <c r="J104" s="162">
        <f t="shared" si="14"/>
        <v>0</v>
      </c>
      <c r="K104" s="162"/>
      <c r="L104" s="330"/>
      <c r="M104" s="162">
        <f t="shared" si="9"/>
        <v>0</v>
      </c>
      <c r="N104" s="330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5"/>
        <v/>
      </c>
      <c r="C105" s="157">
        <f>IF(D93="","-",+C104+1)</f>
        <v>2021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28">
        <f t="shared" si="12"/>
        <v>0</v>
      </c>
      <c r="I105" s="339">
        <f t="shared" si="13"/>
        <v>0</v>
      </c>
      <c r="J105" s="162">
        <f t="shared" si="14"/>
        <v>0</v>
      </c>
      <c r="K105" s="162"/>
      <c r="L105" s="330"/>
      <c r="M105" s="162">
        <f t="shared" si="9"/>
        <v>0</v>
      </c>
      <c r="N105" s="330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5"/>
        <v/>
      </c>
      <c r="C106" s="157">
        <f>IF(D93="","-",+C105+1)</f>
        <v>2022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28">
        <f t="shared" si="12"/>
        <v>0</v>
      </c>
      <c r="I106" s="339">
        <f t="shared" si="13"/>
        <v>0</v>
      </c>
      <c r="J106" s="162">
        <f t="shared" si="14"/>
        <v>0</v>
      </c>
      <c r="K106" s="162"/>
      <c r="L106" s="330"/>
      <c r="M106" s="162">
        <f t="shared" si="9"/>
        <v>0</v>
      </c>
      <c r="N106" s="330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5"/>
        <v/>
      </c>
      <c r="C107" s="157">
        <f>IF(D93="","-",+C106+1)</f>
        <v>2023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28">
        <f t="shared" si="12"/>
        <v>0</v>
      </c>
      <c r="I107" s="339">
        <f t="shared" si="13"/>
        <v>0</v>
      </c>
      <c r="J107" s="162">
        <f t="shared" si="14"/>
        <v>0</v>
      </c>
      <c r="K107" s="162"/>
      <c r="L107" s="330"/>
      <c r="M107" s="162">
        <f t="shared" si="9"/>
        <v>0</v>
      </c>
      <c r="N107" s="330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5"/>
        <v/>
      </c>
      <c r="C108" s="157">
        <f>IF(D93="","-",+C107+1)</f>
        <v>2024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28">
        <f t="shared" si="12"/>
        <v>0</v>
      </c>
      <c r="I108" s="339">
        <f t="shared" si="13"/>
        <v>0</v>
      </c>
      <c r="J108" s="162">
        <f t="shared" si="14"/>
        <v>0</v>
      </c>
      <c r="K108" s="162"/>
      <c r="L108" s="330"/>
      <c r="M108" s="162">
        <f t="shared" si="9"/>
        <v>0</v>
      </c>
      <c r="N108" s="330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5"/>
        <v/>
      </c>
      <c r="C109" s="157">
        <f>IF(D93="","-",+C108+1)</f>
        <v>2025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28">
        <f t="shared" si="12"/>
        <v>0</v>
      </c>
      <c r="I109" s="339">
        <f t="shared" si="13"/>
        <v>0</v>
      </c>
      <c r="J109" s="162">
        <f t="shared" si="14"/>
        <v>0</v>
      </c>
      <c r="K109" s="162"/>
      <c r="L109" s="330"/>
      <c r="M109" s="162">
        <f t="shared" si="9"/>
        <v>0</v>
      </c>
      <c r="N109" s="330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5"/>
        <v/>
      </c>
      <c r="C110" s="157">
        <f>IF(D93="","-",+C109+1)</f>
        <v>2026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28">
        <f t="shared" si="12"/>
        <v>0</v>
      </c>
      <c r="I110" s="339">
        <f t="shared" si="13"/>
        <v>0</v>
      </c>
      <c r="J110" s="162">
        <f t="shared" si="14"/>
        <v>0</v>
      </c>
      <c r="K110" s="162"/>
      <c r="L110" s="330"/>
      <c r="M110" s="162">
        <f t="shared" si="9"/>
        <v>0</v>
      </c>
      <c r="N110" s="330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5"/>
        <v/>
      </c>
      <c r="C111" s="157">
        <f>IF(D93="","-",+C110+1)</f>
        <v>2027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28">
        <f t="shared" si="12"/>
        <v>0</v>
      </c>
      <c r="I111" s="339">
        <f t="shared" si="13"/>
        <v>0</v>
      </c>
      <c r="J111" s="162">
        <f t="shared" si="14"/>
        <v>0</v>
      </c>
      <c r="K111" s="162"/>
      <c r="L111" s="330"/>
      <c r="M111" s="162">
        <f t="shared" si="9"/>
        <v>0</v>
      </c>
      <c r="N111" s="330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5"/>
        <v/>
      </c>
      <c r="C112" s="157">
        <f>IF(D93="","-",+C111+1)</f>
        <v>2028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28">
        <f t="shared" si="12"/>
        <v>0</v>
      </c>
      <c r="I112" s="339">
        <f t="shared" si="13"/>
        <v>0</v>
      </c>
      <c r="J112" s="162">
        <f t="shared" si="14"/>
        <v>0</v>
      </c>
      <c r="K112" s="162"/>
      <c r="L112" s="330"/>
      <c r="M112" s="162">
        <f t="shared" si="9"/>
        <v>0</v>
      </c>
      <c r="N112" s="330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5"/>
        <v/>
      </c>
      <c r="C113" s="157">
        <f>IF(D93="","-",+C112+1)</f>
        <v>2029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28">
        <f t="shared" si="12"/>
        <v>0</v>
      </c>
      <c r="I113" s="339">
        <f t="shared" si="13"/>
        <v>0</v>
      </c>
      <c r="J113" s="162">
        <f t="shared" si="14"/>
        <v>0</v>
      </c>
      <c r="K113" s="162"/>
      <c r="L113" s="330"/>
      <c r="M113" s="162">
        <f t="shared" si="9"/>
        <v>0</v>
      </c>
      <c r="N113" s="330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5"/>
        <v/>
      </c>
      <c r="C114" s="157">
        <f>IF(D93="","-",+C113+1)</f>
        <v>2030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28">
        <f t="shared" si="12"/>
        <v>0</v>
      </c>
      <c r="I114" s="339">
        <f t="shared" si="13"/>
        <v>0</v>
      </c>
      <c r="J114" s="162">
        <f t="shared" si="14"/>
        <v>0</v>
      </c>
      <c r="K114" s="162"/>
      <c r="L114" s="330"/>
      <c r="M114" s="162">
        <f t="shared" si="9"/>
        <v>0</v>
      </c>
      <c r="N114" s="330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5"/>
        <v/>
      </c>
      <c r="C115" s="157">
        <f>IF(D93="","-",+C114+1)</f>
        <v>2031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28">
        <f t="shared" si="12"/>
        <v>0</v>
      </c>
      <c r="I115" s="339">
        <f t="shared" si="13"/>
        <v>0</v>
      </c>
      <c r="J115" s="162">
        <f t="shared" si="14"/>
        <v>0</v>
      </c>
      <c r="K115" s="162"/>
      <c r="L115" s="330"/>
      <c r="M115" s="162">
        <f t="shared" si="9"/>
        <v>0</v>
      </c>
      <c r="N115" s="330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5"/>
        <v/>
      </c>
      <c r="C116" s="157">
        <f>IF(D93="","-",+C115+1)</f>
        <v>2032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28">
        <f t="shared" si="12"/>
        <v>0</v>
      </c>
      <c r="I116" s="339">
        <f t="shared" si="13"/>
        <v>0</v>
      </c>
      <c r="J116" s="162">
        <f t="shared" si="14"/>
        <v>0</v>
      </c>
      <c r="K116" s="162"/>
      <c r="L116" s="330"/>
      <c r="M116" s="162">
        <f t="shared" si="9"/>
        <v>0</v>
      </c>
      <c r="N116" s="330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5"/>
        <v/>
      </c>
      <c r="C117" s="157">
        <f>IF(D93="","-",+C116+1)</f>
        <v>2033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28">
        <f t="shared" si="12"/>
        <v>0</v>
      </c>
      <c r="I117" s="339">
        <f t="shared" si="13"/>
        <v>0</v>
      </c>
      <c r="J117" s="162">
        <f t="shared" si="14"/>
        <v>0</v>
      </c>
      <c r="K117" s="162"/>
      <c r="L117" s="330"/>
      <c r="M117" s="162">
        <f t="shared" si="9"/>
        <v>0</v>
      </c>
      <c r="N117" s="330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5"/>
        <v/>
      </c>
      <c r="C118" s="157">
        <f>IF(D93="","-",+C117+1)</f>
        <v>2034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28">
        <f t="shared" si="12"/>
        <v>0</v>
      </c>
      <c r="I118" s="339">
        <f t="shared" si="13"/>
        <v>0</v>
      </c>
      <c r="J118" s="162">
        <f t="shared" si="14"/>
        <v>0</v>
      </c>
      <c r="K118" s="162"/>
      <c r="L118" s="330"/>
      <c r="M118" s="162">
        <f t="shared" si="9"/>
        <v>0</v>
      </c>
      <c r="N118" s="330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5"/>
        <v/>
      </c>
      <c r="C119" s="157">
        <f>IF(D93="","-",+C118+1)</f>
        <v>2035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28">
        <f t="shared" si="12"/>
        <v>0</v>
      </c>
      <c r="I119" s="339">
        <f t="shared" si="13"/>
        <v>0</v>
      </c>
      <c r="J119" s="162">
        <f t="shared" si="14"/>
        <v>0</v>
      </c>
      <c r="K119" s="162"/>
      <c r="L119" s="330"/>
      <c r="M119" s="162">
        <f t="shared" si="9"/>
        <v>0</v>
      </c>
      <c r="N119" s="330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5"/>
        <v/>
      </c>
      <c r="C120" s="157">
        <f>IF(D93="","-",+C119+1)</f>
        <v>2036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28">
        <f t="shared" si="12"/>
        <v>0</v>
      </c>
      <c r="I120" s="339">
        <f t="shared" si="13"/>
        <v>0</v>
      </c>
      <c r="J120" s="162">
        <f t="shared" si="14"/>
        <v>0</v>
      </c>
      <c r="K120" s="162"/>
      <c r="L120" s="330"/>
      <c r="M120" s="162">
        <f t="shared" si="9"/>
        <v>0</v>
      </c>
      <c r="N120" s="330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5"/>
        <v/>
      </c>
      <c r="C121" s="157">
        <f>IF(D93="","-",+C120+1)</f>
        <v>2037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28">
        <f t="shared" si="12"/>
        <v>0</v>
      </c>
      <c r="I121" s="339">
        <f t="shared" si="13"/>
        <v>0</v>
      </c>
      <c r="J121" s="162">
        <f t="shared" si="14"/>
        <v>0</v>
      </c>
      <c r="K121" s="162"/>
      <c r="L121" s="330"/>
      <c r="M121" s="162">
        <f t="shared" si="9"/>
        <v>0</v>
      </c>
      <c r="N121" s="330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5"/>
        <v/>
      </c>
      <c r="C122" s="157">
        <f>IF(D93="","-",+C121+1)</f>
        <v>2038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28">
        <f t="shared" si="12"/>
        <v>0</v>
      </c>
      <c r="I122" s="339">
        <f t="shared" si="13"/>
        <v>0</v>
      </c>
      <c r="J122" s="162">
        <f t="shared" si="14"/>
        <v>0</v>
      </c>
      <c r="K122" s="162"/>
      <c r="L122" s="330"/>
      <c r="M122" s="162">
        <f t="shared" si="9"/>
        <v>0</v>
      </c>
      <c r="N122" s="330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5"/>
        <v/>
      </c>
      <c r="C123" s="157">
        <f>IF(D93="","-",+C122+1)</f>
        <v>2039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28">
        <f t="shared" si="12"/>
        <v>0</v>
      </c>
      <c r="I123" s="339">
        <f t="shared" si="13"/>
        <v>0</v>
      </c>
      <c r="J123" s="162">
        <f t="shared" si="14"/>
        <v>0</v>
      </c>
      <c r="K123" s="162"/>
      <c r="L123" s="330"/>
      <c r="M123" s="162">
        <f t="shared" si="9"/>
        <v>0</v>
      </c>
      <c r="N123" s="330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5"/>
        <v/>
      </c>
      <c r="C124" s="157">
        <f>IF(D93="","-",+C123+1)</f>
        <v>2040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28">
        <f t="shared" si="12"/>
        <v>0</v>
      </c>
      <c r="I124" s="339">
        <f t="shared" si="13"/>
        <v>0</v>
      </c>
      <c r="J124" s="162">
        <f t="shared" si="14"/>
        <v>0</v>
      </c>
      <c r="K124" s="162"/>
      <c r="L124" s="330"/>
      <c r="M124" s="162">
        <f t="shared" si="9"/>
        <v>0</v>
      </c>
      <c r="N124" s="330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5"/>
        <v/>
      </c>
      <c r="C125" s="157">
        <f>IF(D93="","-",+C124+1)</f>
        <v>2041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28">
        <f t="shared" si="12"/>
        <v>0</v>
      </c>
      <c r="I125" s="339">
        <f t="shared" si="13"/>
        <v>0</v>
      </c>
      <c r="J125" s="162">
        <f t="shared" si="14"/>
        <v>0</v>
      </c>
      <c r="K125" s="162"/>
      <c r="L125" s="330"/>
      <c r="M125" s="162">
        <f t="shared" si="9"/>
        <v>0</v>
      </c>
      <c r="N125" s="330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5"/>
        <v/>
      </c>
      <c r="C126" s="157">
        <f>IF(D93="","-",+C125+1)</f>
        <v>2042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28">
        <f t="shared" si="12"/>
        <v>0</v>
      </c>
      <c r="I126" s="339">
        <f t="shared" si="13"/>
        <v>0</v>
      </c>
      <c r="J126" s="162">
        <f t="shared" si="14"/>
        <v>0</v>
      </c>
      <c r="K126" s="162"/>
      <c r="L126" s="330"/>
      <c r="M126" s="162">
        <f t="shared" si="9"/>
        <v>0</v>
      </c>
      <c r="N126" s="330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5"/>
        <v/>
      </c>
      <c r="C127" s="157">
        <f>IF(D93="","-",+C126+1)</f>
        <v>2043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28">
        <f t="shared" si="12"/>
        <v>0</v>
      </c>
      <c r="I127" s="339">
        <f t="shared" si="13"/>
        <v>0</v>
      </c>
      <c r="J127" s="162">
        <f t="shared" si="14"/>
        <v>0</v>
      </c>
      <c r="K127" s="162"/>
      <c r="L127" s="330"/>
      <c r="M127" s="162">
        <f t="shared" si="9"/>
        <v>0</v>
      </c>
      <c r="N127" s="330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5"/>
        <v/>
      </c>
      <c r="C128" s="157">
        <f>IF(D93="","-",+C127+1)</f>
        <v>2044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28">
        <f t="shared" si="12"/>
        <v>0</v>
      </c>
      <c r="I128" s="339">
        <f t="shared" si="13"/>
        <v>0</v>
      </c>
      <c r="J128" s="162">
        <f t="shared" si="14"/>
        <v>0</v>
      </c>
      <c r="K128" s="162"/>
      <c r="L128" s="330"/>
      <c r="M128" s="162">
        <f t="shared" si="9"/>
        <v>0</v>
      </c>
      <c r="N128" s="330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5"/>
        <v/>
      </c>
      <c r="C129" s="157">
        <f>IF(D93="","-",+C128+1)</f>
        <v>2045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28">
        <f t="shared" si="12"/>
        <v>0</v>
      </c>
      <c r="I129" s="339">
        <f t="shared" si="13"/>
        <v>0</v>
      </c>
      <c r="J129" s="162">
        <f t="shared" si="14"/>
        <v>0</v>
      </c>
      <c r="K129" s="162"/>
      <c r="L129" s="330"/>
      <c r="M129" s="162">
        <f t="shared" si="9"/>
        <v>0</v>
      </c>
      <c r="N129" s="330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5"/>
        <v/>
      </c>
      <c r="C130" s="157">
        <f>IF(D93="","-",+C129+1)</f>
        <v>2046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28">
        <f t="shared" si="12"/>
        <v>0</v>
      </c>
      <c r="I130" s="339">
        <f t="shared" si="13"/>
        <v>0</v>
      </c>
      <c r="J130" s="162">
        <f t="shared" si="14"/>
        <v>0</v>
      </c>
      <c r="K130" s="162"/>
      <c r="L130" s="330"/>
      <c r="M130" s="162">
        <f t="shared" si="9"/>
        <v>0</v>
      </c>
      <c r="N130" s="330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5"/>
        <v/>
      </c>
      <c r="C131" s="157">
        <f>IF(D93="","-",+C130+1)</f>
        <v>2047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28">
        <f t="shared" si="12"/>
        <v>0</v>
      </c>
      <c r="I131" s="339">
        <f t="shared" si="13"/>
        <v>0</v>
      </c>
      <c r="J131" s="162">
        <f t="shared" ref="J131:J154" si="19">+I541-H541</f>
        <v>0</v>
      </c>
      <c r="K131" s="162"/>
      <c r="L131" s="330"/>
      <c r="M131" s="162">
        <f t="shared" ref="M131:M154" si="20">IF(L541&lt;&gt;0,+H541-L541,0)</f>
        <v>0</v>
      </c>
      <c r="N131" s="330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2048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28">
        <f t="shared" si="12"/>
        <v>0</v>
      </c>
      <c r="I132" s="339">
        <f t="shared" si="13"/>
        <v>0</v>
      </c>
      <c r="J132" s="162">
        <f t="shared" si="19"/>
        <v>0</v>
      </c>
      <c r="K132" s="162"/>
      <c r="L132" s="330"/>
      <c r="M132" s="162">
        <f t="shared" si="20"/>
        <v>0</v>
      </c>
      <c r="N132" s="330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2049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28">
        <f t="shared" si="12"/>
        <v>0</v>
      </c>
      <c r="I133" s="339">
        <f t="shared" si="13"/>
        <v>0</v>
      </c>
      <c r="J133" s="162">
        <f t="shared" si="19"/>
        <v>0</v>
      </c>
      <c r="K133" s="162"/>
      <c r="L133" s="330"/>
      <c r="M133" s="162">
        <f t="shared" si="20"/>
        <v>0</v>
      </c>
      <c r="N133" s="330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2050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28">
        <f t="shared" si="12"/>
        <v>0</v>
      </c>
      <c r="I134" s="339">
        <f t="shared" si="13"/>
        <v>0</v>
      </c>
      <c r="J134" s="162">
        <f t="shared" si="19"/>
        <v>0</v>
      </c>
      <c r="K134" s="162"/>
      <c r="L134" s="330"/>
      <c r="M134" s="162">
        <f t="shared" si="20"/>
        <v>0</v>
      </c>
      <c r="N134" s="330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2051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28">
        <f t="shared" si="12"/>
        <v>0</v>
      </c>
      <c r="I135" s="339">
        <f t="shared" si="13"/>
        <v>0</v>
      </c>
      <c r="J135" s="162">
        <f t="shared" si="19"/>
        <v>0</v>
      </c>
      <c r="K135" s="162"/>
      <c r="L135" s="330"/>
      <c r="M135" s="162">
        <f t="shared" si="20"/>
        <v>0</v>
      </c>
      <c r="N135" s="330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2052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28">
        <f t="shared" si="12"/>
        <v>0</v>
      </c>
      <c r="I136" s="339">
        <f t="shared" si="13"/>
        <v>0</v>
      </c>
      <c r="J136" s="162">
        <f t="shared" si="19"/>
        <v>0</v>
      </c>
      <c r="K136" s="162"/>
      <c r="L136" s="330"/>
      <c r="M136" s="162">
        <f t="shared" si="20"/>
        <v>0</v>
      </c>
      <c r="N136" s="330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2053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28">
        <f t="shared" si="12"/>
        <v>0</v>
      </c>
      <c r="I137" s="339">
        <f t="shared" si="13"/>
        <v>0</v>
      </c>
      <c r="J137" s="162">
        <f t="shared" si="19"/>
        <v>0</v>
      </c>
      <c r="K137" s="162"/>
      <c r="L137" s="330"/>
      <c r="M137" s="162">
        <f t="shared" si="20"/>
        <v>0</v>
      </c>
      <c r="N137" s="330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2054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28">
        <f t="shared" si="12"/>
        <v>0</v>
      </c>
      <c r="I138" s="339">
        <f t="shared" si="13"/>
        <v>0</v>
      </c>
      <c r="J138" s="162">
        <f t="shared" si="19"/>
        <v>0</v>
      </c>
      <c r="K138" s="162"/>
      <c r="L138" s="330"/>
      <c r="M138" s="162">
        <f t="shared" si="20"/>
        <v>0</v>
      </c>
      <c r="N138" s="330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2055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28">
        <f t="shared" si="12"/>
        <v>0</v>
      </c>
      <c r="I139" s="339">
        <f t="shared" si="13"/>
        <v>0</v>
      </c>
      <c r="J139" s="162">
        <f t="shared" si="19"/>
        <v>0</v>
      </c>
      <c r="K139" s="162"/>
      <c r="L139" s="330"/>
      <c r="M139" s="162">
        <f t="shared" si="20"/>
        <v>0</v>
      </c>
      <c r="N139" s="330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2056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28">
        <f t="shared" si="12"/>
        <v>0</v>
      </c>
      <c r="I140" s="339">
        <f t="shared" si="13"/>
        <v>0</v>
      </c>
      <c r="J140" s="162">
        <f t="shared" si="19"/>
        <v>0</v>
      </c>
      <c r="K140" s="162"/>
      <c r="L140" s="330"/>
      <c r="M140" s="162">
        <f t="shared" si="20"/>
        <v>0</v>
      </c>
      <c r="N140" s="330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2057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28">
        <f t="shared" si="12"/>
        <v>0</v>
      </c>
      <c r="I141" s="339">
        <f t="shared" si="13"/>
        <v>0</v>
      </c>
      <c r="J141" s="162">
        <f t="shared" si="19"/>
        <v>0</v>
      </c>
      <c r="K141" s="162"/>
      <c r="L141" s="330"/>
      <c r="M141" s="162">
        <f t="shared" si="20"/>
        <v>0</v>
      </c>
      <c r="N141" s="330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2058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28">
        <f t="shared" si="12"/>
        <v>0</v>
      </c>
      <c r="I142" s="339">
        <f t="shared" si="13"/>
        <v>0</v>
      </c>
      <c r="J142" s="162">
        <f t="shared" si="19"/>
        <v>0</v>
      </c>
      <c r="K142" s="162"/>
      <c r="L142" s="330"/>
      <c r="M142" s="162">
        <f t="shared" si="20"/>
        <v>0</v>
      </c>
      <c r="N142" s="330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2059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28">
        <f t="shared" si="12"/>
        <v>0</v>
      </c>
      <c r="I143" s="339">
        <f t="shared" si="13"/>
        <v>0</v>
      </c>
      <c r="J143" s="162">
        <f t="shared" si="19"/>
        <v>0</v>
      </c>
      <c r="K143" s="162"/>
      <c r="L143" s="330"/>
      <c r="M143" s="162">
        <f t="shared" si="20"/>
        <v>0</v>
      </c>
      <c r="N143" s="330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28">
        <f t="shared" si="12"/>
        <v>0</v>
      </c>
      <c r="I144" s="339">
        <f t="shared" si="13"/>
        <v>0</v>
      </c>
      <c r="J144" s="162">
        <f t="shared" si="19"/>
        <v>0</v>
      </c>
      <c r="K144" s="162"/>
      <c r="L144" s="330"/>
      <c r="M144" s="162">
        <f t="shared" si="20"/>
        <v>0</v>
      </c>
      <c r="N144" s="330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28">
        <f t="shared" si="12"/>
        <v>0</v>
      </c>
      <c r="I145" s="339">
        <f t="shared" si="13"/>
        <v>0</v>
      </c>
      <c r="J145" s="162">
        <f t="shared" si="19"/>
        <v>0</v>
      </c>
      <c r="K145" s="162"/>
      <c r="L145" s="330"/>
      <c r="M145" s="162">
        <f t="shared" si="20"/>
        <v>0</v>
      </c>
      <c r="N145" s="330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28">
        <f t="shared" si="12"/>
        <v>0</v>
      </c>
      <c r="I146" s="339">
        <f t="shared" si="13"/>
        <v>0</v>
      </c>
      <c r="J146" s="162">
        <f t="shared" si="19"/>
        <v>0</v>
      </c>
      <c r="K146" s="162"/>
      <c r="L146" s="330"/>
      <c r="M146" s="162">
        <f t="shared" si="20"/>
        <v>0</v>
      </c>
      <c r="N146" s="330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28">
        <f t="shared" si="12"/>
        <v>0</v>
      </c>
      <c r="I147" s="339">
        <f t="shared" si="13"/>
        <v>0</v>
      </c>
      <c r="J147" s="162">
        <f t="shared" si="19"/>
        <v>0</v>
      </c>
      <c r="K147" s="162"/>
      <c r="L147" s="330"/>
      <c r="M147" s="162">
        <f t="shared" si="20"/>
        <v>0</v>
      </c>
      <c r="N147" s="330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28">
        <f t="shared" si="12"/>
        <v>0</v>
      </c>
      <c r="I148" s="339">
        <f t="shared" si="13"/>
        <v>0</v>
      </c>
      <c r="J148" s="162">
        <f t="shared" si="19"/>
        <v>0</v>
      </c>
      <c r="K148" s="162"/>
      <c r="L148" s="330"/>
      <c r="M148" s="162">
        <f t="shared" si="20"/>
        <v>0</v>
      </c>
      <c r="N148" s="330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28">
        <f t="shared" si="12"/>
        <v>0</v>
      </c>
      <c r="I149" s="339">
        <f t="shared" si="13"/>
        <v>0</v>
      </c>
      <c r="J149" s="162">
        <f t="shared" si="19"/>
        <v>0</v>
      </c>
      <c r="K149" s="162"/>
      <c r="L149" s="330"/>
      <c r="M149" s="162">
        <f t="shared" si="20"/>
        <v>0</v>
      </c>
      <c r="N149" s="330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28">
        <f t="shared" si="12"/>
        <v>0</v>
      </c>
      <c r="I150" s="339">
        <f t="shared" si="13"/>
        <v>0</v>
      </c>
      <c r="J150" s="162">
        <f t="shared" si="19"/>
        <v>0</v>
      </c>
      <c r="K150" s="162"/>
      <c r="L150" s="330"/>
      <c r="M150" s="162">
        <f t="shared" si="20"/>
        <v>0</v>
      </c>
      <c r="N150" s="330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28">
        <f t="shared" si="12"/>
        <v>0</v>
      </c>
      <c r="I151" s="339">
        <f t="shared" si="13"/>
        <v>0</v>
      </c>
      <c r="J151" s="162">
        <f t="shared" si="19"/>
        <v>0</v>
      </c>
      <c r="K151" s="162"/>
      <c r="L151" s="330"/>
      <c r="M151" s="162">
        <f t="shared" si="20"/>
        <v>0</v>
      </c>
      <c r="N151" s="330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28">
        <f t="shared" si="12"/>
        <v>0</v>
      </c>
      <c r="I152" s="339">
        <f t="shared" si="13"/>
        <v>0</v>
      </c>
      <c r="J152" s="162">
        <f t="shared" si="19"/>
        <v>0</v>
      </c>
      <c r="K152" s="162"/>
      <c r="L152" s="330"/>
      <c r="M152" s="162">
        <f t="shared" si="20"/>
        <v>0</v>
      </c>
      <c r="N152" s="330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28">
        <f t="shared" si="12"/>
        <v>0</v>
      </c>
      <c r="I153" s="339">
        <f t="shared" si="13"/>
        <v>0</v>
      </c>
      <c r="J153" s="162">
        <f t="shared" si="19"/>
        <v>0</v>
      </c>
      <c r="K153" s="162"/>
      <c r="L153" s="330"/>
      <c r="M153" s="162">
        <f t="shared" si="20"/>
        <v>0</v>
      </c>
      <c r="N153" s="330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2070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0">
        <f t="shared" si="12"/>
        <v>0</v>
      </c>
      <c r="I154" s="341">
        <f t="shared" si="13"/>
        <v>0</v>
      </c>
      <c r="J154" s="173">
        <f t="shared" si="19"/>
        <v>0</v>
      </c>
      <c r="K154" s="162"/>
      <c r="L154" s="331"/>
      <c r="M154" s="173">
        <f t="shared" si="20"/>
        <v>0</v>
      </c>
      <c r="N154" s="331"/>
      <c r="O154" s="173">
        <f t="shared" si="21"/>
        <v>0</v>
      </c>
      <c r="P154" s="173">
        <f t="shared" si="22"/>
        <v>0</v>
      </c>
    </row>
    <row r="155" spans="2:16">
      <c r="C155" s="158" t="s">
        <v>77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zoomScale="78" zoomScaleNormal="100" zoomScaleSheetLayoutView="78" workbookViewId="0">
      <selection sqref="A1:IV6553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"&amp;RIGHT(MID(CELL("filename",$A$1),FIND("]",CELL("filename",$A$1))+1,256),2)&amp;" of "&amp;COUNT('P.001:P.xyz - blank'!$P$3)-1</f>
        <v>PSO Project nk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0</v>
      </c>
      <c r="O6" s="1"/>
      <c r="P6" s="1"/>
    </row>
    <row r="7" spans="1:16" ht="13.5" thickBot="1">
      <c r="C7" s="127" t="s">
        <v>46</v>
      </c>
      <c r="D7" s="227" t="s">
        <v>108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48</v>
      </c>
      <c r="D9" s="229"/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/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2017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4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2017</v>
      </c>
      <c r="D17" s="158">
        <v>0</v>
      </c>
      <c r="E17" s="159">
        <f>IF(D10&gt;=100000,I$14/12*(12-D12),0)</f>
        <v>0</v>
      </c>
      <c r="F17" s="163">
        <f>IF(D11=C17,+D10-E17,+D17-E17)</f>
        <v>0</v>
      </c>
      <c r="G17" s="159">
        <f>(D17+F17)/2*I$12+E17</f>
        <v>0</v>
      </c>
      <c r="H17" s="147">
        <f>+(D17+F17)/2*I$13+E17</f>
        <v>0</v>
      </c>
      <c r="I17" s="160">
        <f>H17-G17</f>
        <v>0</v>
      </c>
      <c r="J17" s="160"/>
      <c r="K17" s="332"/>
      <c r="L17" s="161">
        <f t="shared" ref="L17:L48" si="0">IF(K17&lt;&gt;0,+G17-K17,0)</f>
        <v>0</v>
      </c>
      <c r="M17" s="332"/>
      <c r="N17" s="161">
        <f t="shared" ref="N17:N48" si="1">IF(M17&lt;&gt;0,+H17-M17,0)</f>
        <v>0</v>
      </c>
      <c r="O17" s="162">
        <f t="shared" ref="O17:O48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166">
        <f>IF(F17+SUM(E$17:E17)=D$10,F17,D$10-SUM(E$17:E17))</f>
        <v>0</v>
      </c>
      <c r="E18" s="164">
        <f>IF(+I$14&lt;F17,I$14,D18)</f>
        <v>0</v>
      </c>
      <c r="F18" s="163">
        <f>+D18-E18</f>
        <v>0</v>
      </c>
      <c r="G18" s="165">
        <f>(D18+F18)/2*I$12+E18</f>
        <v>0</v>
      </c>
      <c r="H18" s="147">
        <f>+(D18+F18)/2*I$13+E18</f>
        <v>0</v>
      </c>
      <c r="I18" s="160">
        <f>H18-G18</f>
        <v>0</v>
      </c>
      <c r="J18" s="160"/>
      <c r="K18" s="330"/>
      <c r="L18" s="162">
        <f t="shared" si="0"/>
        <v>0</v>
      </c>
      <c r="M18" s="330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0</v>
      </c>
      <c r="E19" s="164">
        <f t="shared" ref="E19:E71" si="3">IF(+I$14&lt;F18,I$14,D19)</f>
        <v>0</v>
      </c>
      <c r="F19" s="163">
        <f t="shared" ref="F19:F71" si="4">+D19-E19</f>
        <v>0</v>
      </c>
      <c r="G19" s="165">
        <f t="shared" ref="G19:G71" si="5">(D19+F19)/2*I$12+E19</f>
        <v>0</v>
      </c>
      <c r="H19" s="147">
        <f t="shared" ref="H19:H71" si="6">+(D19+F19)/2*I$13+E19</f>
        <v>0</v>
      </c>
      <c r="I19" s="160">
        <f t="shared" ref="I19:I71" si="7">H19-G19</f>
        <v>0</v>
      </c>
      <c r="J19" s="160"/>
      <c r="K19" s="330"/>
      <c r="L19" s="162">
        <f t="shared" si="0"/>
        <v>0</v>
      </c>
      <c r="M19" s="330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0</v>
      </c>
      <c r="E20" s="164">
        <f t="shared" si="3"/>
        <v>0</v>
      </c>
      <c r="F20" s="163">
        <f t="shared" si="4"/>
        <v>0</v>
      </c>
      <c r="G20" s="165">
        <f t="shared" si="5"/>
        <v>0</v>
      </c>
      <c r="H20" s="147">
        <f t="shared" si="6"/>
        <v>0</v>
      </c>
      <c r="I20" s="160">
        <f t="shared" si="7"/>
        <v>0</v>
      </c>
      <c r="J20" s="160"/>
      <c r="K20" s="330"/>
      <c r="L20" s="162">
        <f t="shared" si="0"/>
        <v>0</v>
      </c>
      <c r="M20" s="330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0</v>
      </c>
      <c r="E21" s="164">
        <f t="shared" si="3"/>
        <v>0</v>
      </c>
      <c r="F21" s="163">
        <f t="shared" si="4"/>
        <v>0</v>
      </c>
      <c r="G21" s="165">
        <f t="shared" si="5"/>
        <v>0</v>
      </c>
      <c r="H21" s="147">
        <f t="shared" si="6"/>
        <v>0</v>
      </c>
      <c r="I21" s="160">
        <f t="shared" si="7"/>
        <v>0</v>
      </c>
      <c r="J21" s="160"/>
      <c r="K21" s="330"/>
      <c r="L21" s="162">
        <f t="shared" si="0"/>
        <v>0</v>
      </c>
      <c r="M21" s="330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0</v>
      </c>
      <c r="E22" s="164">
        <f t="shared" si="3"/>
        <v>0</v>
      </c>
      <c r="F22" s="163">
        <f t="shared" si="4"/>
        <v>0</v>
      </c>
      <c r="G22" s="165">
        <f t="shared" si="5"/>
        <v>0</v>
      </c>
      <c r="H22" s="147">
        <f t="shared" si="6"/>
        <v>0</v>
      </c>
      <c r="I22" s="160">
        <f t="shared" si="7"/>
        <v>0</v>
      </c>
      <c r="J22" s="160"/>
      <c r="K22" s="330"/>
      <c r="L22" s="162">
        <f t="shared" si="0"/>
        <v>0</v>
      </c>
      <c r="M22" s="330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0</v>
      </c>
      <c r="E23" s="164">
        <f t="shared" si="3"/>
        <v>0</v>
      </c>
      <c r="F23" s="163">
        <f t="shared" si="4"/>
        <v>0</v>
      </c>
      <c r="G23" s="165">
        <f t="shared" si="5"/>
        <v>0</v>
      </c>
      <c r="H23" s="147">
        <f t="shared" si="6"/>
        <v>0</v>
      </c>
      <c r="I23" s="160">
        <f t="shared" si="7"/>
        <v>0</v>
      </c>
      <c r="J23" s="160"/>
      <c r="K23" s="330"/>
      <c r="L23" s="162">
        <f t="shared" si="0"/>
        <v>0</v>
      </c>
      <c r="M23" s="330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0</v>
      </c>
      <c r="E24" s="164">
        <f t="shared" si="3"/>
        <v>0</v>
      </c>
      <c r="F24" s="163">
        <f t="shared" si="4"/>
        <v>0</v>
      </c>
      <c r="G24" s="165">
        <f t="shared" si="5"/>
        <v>0</v>
      </c>
      <c r="H24" s="147">
        <f t="shared" si="6"/>
        <v>0</v>
      </c>
      <c r="I24" s="160">
        <f t="shared" si="7"/>
        <v>0</v>
      </c>
      <c r="J24" s="160"/>
      <c r="K24" s="330"/>
      <c r="L24" s="162">
        <f t="shared" si="0"/>
        <v>0</v>
      </c>
      <c r="M24" s="330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0</v>
      </c>
      <c r="E25" s="164">
        <f t="shared" si="3"/>
        <v>0</v>
      </c>
      <c r="F25" s="163">
        <f t="shared" si="4"/>
        <v>0</v>
      </c>
      <c r="G25" s="165">
        <f t="shared" si="5"/>
        <v>0</v>
      </c>
      <c r="H25" s="147">
        <f t="shared" si="6"/>
        <v>0</v>
      </c>
      <c r="I25" s="160">
        <f t="shared" si="7"/>
        <v>0</v>
      </c>
      <c r="J25" s="160"/>
      <c r="K25" s="330"/>
      <c r="L25" s="162">
        <f t="shared" si="0"/>
        <v>0</v>
      </c>
      <c r="M25" s="330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0</v>
      </c>
      <c r="E26" s="164">
        <f t="shared" si="3"/>
        <v>0</v>
      </c>
      <c r="F26" s="163">
        <f t="shared" si="4"/>
        <v>0</v>
      </c>
      <c r="G26" s="165">
        <f t="shared" si="5"/>
        <v>0</v>
      </c>
      <c r="H26" s="147">
        <f t="shared" si="6"/>
        <v>0</v>
      </c>
      <c r="I26" s="160">
        <f t="shared" si="7"/>
        <v>0</v>
      </c>
      <c r="J26" s="160"/>
      <c r="K26" s="330"/>
      <c r="L26" s="162">
        <f t="shared" si="0"/>
        <v>0</v>
      </c>
      <c r="M26" s="330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0</v>
      </c>
      <c r="E27" s="164">
        <f t="shared" si="3"/>
        <v>0</v>
      </c>
      <c r="F27" s="163">
        <f t="shared" si="4"/>
        <v>0</v>
      </c>
      <c r="G27" s="165">
        <f t="shared" si="5"/>
        <v>0</v>
      </c>
      <c r="H27" s="147">
        <f t="shared" si="6"/>
        <v>0</v>
      </c>
      <c r="I27" s="160">
        <f t="shared" si="7"/>
        <v>0</v>
      </c>
      <c r="J27" s="160"/>
      <c r="K27" s="330"/>
      <c r="L27" s="162">
        <f t="shared" si="0"/>
        <v>0</v>
      </c>
      <c r="M27" s="330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0</v>
      </c>
      <c r="E28" s="164">
        <f t="shared" si="3"/>
        <v>0</v>
      </c>
      <c r="F28" s="163">
        <f t="shared" si="4"/>
        <v>0</v>
      </c>
      <c r="G28" s="165">
        <f t="shared" si="5"/>
        <v>0</v>
      </c>
      <c r="H28" s="147">
        <f t="shared" si="6"/>
        <v>0</v>
      </c>
      <c r="I28" s="160">
        <f t="shared" si="7"/>
        <v>0</v>
      </c>
      <c r="J28" s="160"/>
      <c r="K28" s="330"/>
      <c r="L28" s="162">
        <f t="shared" si="0"/>
        <v>0</v>
      </c>
      <c r="M28" s="330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0</v>
      </c>
      <c r="E29" s="164">
        <f t="shared" si="3"/>
        <v>0</v>
      </c>
      <c r="F29" s="163">
        <f t="shared" si="4"/>
        <v>0</v>
      </c>
      <c r="G29" s="165">
        <f t="shared" si="5"/>
        <v>0</v>
      </c>
      <c r="H29" s="147">
        <f t="shared" si="6"/>
        <v>0</v>
      </c>
      <c r="I29" s="160">
        <f t="shared" si="7"/>
        <v>0</v>
      </c>
      <c r="J29" s="160"/>
      <c r="K29" s="330"/>
      <c r="L29" s="162">
        <f t="shared" si="0"/>
        <v>0</v>
      </c>
      <c r="M29" s="330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0</v>
      </c>
      <c r="E30" s="164">
        <f t="shared" si="3"/>
        <v>0</v>
      </c>
      <c r="F30" s="163">
        <f t="shared" si="4"/>
        <v>0</v>
      </c>
      <c r="G30" s="165">
        <f t="shared" si="5"/>
        <v>0</v>
      </c>
      <c r="H30" s="147">
        <f t="shared" si="6"/>
        <v>0</v>
      </c>
      <c r="I30" s="160">
        <f t="shared" si="7"/>
        <v>0</v>
      </c>
      <c r="J30" s="160"/>
      <c r="K30" s="330"/>
      <c r="L30" s="162">
        <f t="shared" si="0"/>
        <v>0</v>
      </c>
      <c r="M30" s="330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0</v>
      </c>
      <c r="E31" s="164">
        <f t="shared" si="3"/>
        <v>0</v>
      </c>
      <c r="F31" s="163">
        <f t="shared" si="4"/>
        <v>0</v>
      </c>
      <c r="G31" s="165">
        <f t="shared" si="5"/>
        <v>0</v>
      </c>
      <c r="H31" s="147">
        <f t="shared" si="6"/>
        <v>0</v>
      </c>
      <c r="I31" s="160">
        <f t="shared" si="7"/>
        <v>0</v>
      </c>
      <c r="J31" s="160"/>
      <c r="K31" s="330"/>
      <c r="L31" s="162">
        <f t="shared" si="0"/>
        <v>0</v>
      </c>
      <c r="M31" s="330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0</v>
      </c>
      <c r="E32" s="164">
        <f t="shared" si="3"/>
        <v>0</v>
      </c>
      <c r="F32" s="163">
        <f t="shared" si="4"/>
        <v>0</v>
      </c>
      <c r="G32" s="165">
        <f t="shared" si="5"/>
        <v>0</v>
      </c>
      <c r="H32" s="147">
        <f t="shared" si="6"/>
        <v>0</v>
      </c>
      <c r="I32" s="160">
        <f t="shared" si="7"/>
        <v>0</v>
      </c>
      <c r="J32" s="160"/>
      <c r="K32" s="330"/>
      <c r="L32" s="162">
        <f t="shared" si="0"/>
        <v>0</v>
      </c>
      <c r="M32" s="330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0</v>
      </c>
      <c r="E33" s="164">
        <f t="shared" si="3"/>
        <v>0</v>
      </c>
      <c r="F33" s="163">
        <f t="shared" si="4"/>
        <v>0</v>
      </c>
      <c r="G33" s="165">
        <f t="shared" si="5"/>
        <v>0</v>
      </c>
      <c r="H33" s="147">
        <f t="shared" si="6"/>
        <v>0</v>
      </c>
      <c r="I33" s="160">
        <f t="shared" si="7"/>
        <v>0</v>
      </c>
      <c r="J33" s="160"/>
      <c r="K33" s="330"/>
      <c r="L33" s="162">
        <f t="shared" si="0"/>
        <v>0</v>
      </c>
      <c r="M33" s="330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0</v>
      </c>
      <c r="E34" s="164">
        <f t="shared" si="3"/>
        <v>0</v>
      </c>
      <c r="F34" s="163">
        <f t="shared" si="4"/>
        <v>0</v>
      </c>
      <c r="G34" s="165">
        <f t="shared" si="5"/>
        <v>0</v>
      </c>
      <c r="H34" s="147">
        <f t="shared" si="6"/>
        <v>0</v>
      </c>
      <c r="I34" s="160">
        <f t="shared" si="7"/>
        <v>0</v>
      </c>
      <c r="J34" s="160"/>
      <c r="K34" s="330"/>
      <c r="L34" s="162">
        <f t="shared" si="0"/>
        <v>0</v>
      </c>
      <c r="M34" s="330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0</v>
      </c>
      <c r="E35" s="164">
        <f t="shared" si="3"/>
        <v>0</v>
      </c>
      <c r="F35" s="163">
        <f t="shared" si="4"/>
        <v>0</v>
      </c>
      <c r="G35" s="165">
        <f t="shared" si="5"/>
        <v>0</v>
      </c>
      <c r="H35" s="147">
        <f t="shared" si="6"/>
        <v>0</v>
      </c>
      <c r="I35" s="160">
        <f t="shared" si="7"/>
        <v>0</v>
      </c>
      <c r="J35" s="160"/>
      <c r="K35" s="330"/>
      <c r="L35" s="162">
        <f t="shared" si="0"/>
        <v>0</v>
      </c>
      <c r="M35" s="330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0</v>
      </c>
      <c r="E36" s="164">
        <f t="shared" si="3"/>
        <v>0</v>
      </c>
      <c r="F36" s="163">
        <f t="shared" si="4"/>
        <v>0</v>
      </c>
      <c r="G36" s="165">
        <f t="shared" si="5"/>
        <v>0</v>
      </c>
      <c r="H36" s="147">
        <f t="shared" si="6"/>
        <v>0</v>
      </c>
      <c r="I36" s="160">
        <f t="shared" si="7"/>
        <v>0</v>
      </c>
      <c r="J36" s="160"/>
      <c r="K36" s="330"/>
      <c r="L36" s="162">
        <f t="shared" si="0"/>
        <v>0</v>
      </c>
      <c r="M36" s="330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0</v>
      </c>
      <c r="E37" s="164">
        <f t="shared" si="3"/>
        <v>0</v>
      </c>
      <c r="F37" s="163">
        <f t="shared" si="4"/>
        <v>0</v>
      </c>
      <c r="G37" s="165">
        <f t="shared" si="5"/>
        <v>0</v>
      </c>
      <c r="H37" s="147">
        <f t="shared" si="6"/>
        <v>0</v>
      </c>
      <c r="I37" s="160">
        <f t="shared" si="7"/>
        <v>0</v>
      </c>
      <c r="J37" s="160"/>
      <c r="K37" s="330"/>
      <c r="L37" s="162">
        <f t="shared" si="0"/>
        <v>0</v>
      </c>
      <c r="M37" s="330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0</v>
      </c>
      <c r="E38" s="164">
        <f t="shared" si="3"/>
        <v>0</v>
      </c>
      <c r="F38" s="163">
        <f t="shared" si="4"/>
        <v>0</v>
      </c>
      <c r="G38" s="165">
        <f t="shared" si="5"/>
        <v>0</v>
      </c>
      <c r="H38" s="147">
        <f t="shared" si="6"/>
        <v>0</v>
      </c>
      <c r="I38" s="160">
        <f t="shared" si="7"/>
        <v>0</v>
      </c>
      <c r="J38" s="160"/>
      <c r="K38" s="330"/>
      <c r="L38" s="162">
        <f t="shared" si="0"/>
        <v>0</v>
      </c>
      <c r="M38" s="330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0</v>
      </c>
      <c r="E39" s="164">
        <f t="shared" si="3"/>
        <v>0</v>
      </c>
      <c r="F39" s="163">
        <f t="shared" si="4"/>
        <v>0</v>
      </c>
      <c r="G39" s="165">
        <f t="shared" si="5"/>
        <v>0</v>
      </c>
      <c r="H39" s="147">
        <f t="shared" si="6"/>
        <v>0</v>
      </c>
      <c r="I39" s="160">
        <f t="shared" si="7"/>
        <v>0</v>
      </c>
      <c r="J39" s="160"/>
      <c r="K39" s="330"/>
      <c r="L39" s="162">
        <f t="shared" si="0"/>
        <v>0</v>
      </c>
      <c r="M39" s="330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0</v>
      </c>
      <c r="E40" s="164">
        <f t="shared" si="3"/>
        <v>0</v>
      </c>
      <c r="F40" s="163">
        <f t="shared" si="4"/>
        <v>0</v>
      </c>
      <c r="G40" s="165">
        <f t="shared" si="5"/>
        <v>0</v>
      </c>
      <c r="H40" s="147">
        <f t="shared" si="6"/>
        <v>0</v>
      </c>
      <c r="I40" s="160">
        <f t="shared" si="7"/>
        <v>0</v>
      </c>
      <c r="J40" s="160"/>
      <c r="K40" s="330"/>
      <c r="L40" s="162">
        <f t="shared" si="0"/>
        <v>0</v>
      </c>
      <c r="M40" s="330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0</v>
      </c>
      <c r="E41" s="164">
        <f t="shared" si="3"/>
        <v>0</v>
      </c>
      <c r="F41" s="163">
        <f t="shared" si="4"/>
        <v>0</v>
      </c>
      <c r="G41" s="165">
        <f t="shared" si="5"/>
        <v>0</v>
      </c>
      <c r="H41" s="147">
        <f t="shared" si="6"/>
        <v>0</v>
      </c>
      <c r="I41" s="160">
        <f t="shared" si="7"/>
        <v>0</v>
      </c>
      <c r="J41" s="160"/>
      <c r="K41" s="330"/>
      <c r="L41" s="162">
        <f t="shared" si="0"/>
        <v>0</v>
      </c>
      <c r="M41" s="330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0</v>
      </c>
      <c r="E42" s="164">
        <f t="shared" si="3"/>
        <v>0</v>
      </c>
      <c r="F42" s="163">
        <f t="shared" si="4"/>
        <v>0</v>
      </c>
      <c r="G42" s="165">
        <f t="shared" si="5"/>
        <v>0</v>
      </c>
      <c r="H42" s="147">
        <f t="shared" si="6"/>
        <v>0</v>
      </c>
      <c r="I42" s="160">
        <f t="shared" si="7"/>
        <v>0</v>
      </c>
      <c r="J42" s="160"/>
      <c r="K42" s="330"/>
      <c r="L42" s="162">
        <f t="shared" si="0"/>
        <v>0</v>
      </c>
      <c r="M42" s="330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0</v>
      </c>
      <c r="E43" s="164">
        <f t="shared" si="3"/>
        <v>0</v>
      </c>
      <c r="F43" s="163">
        <f t="shared" si="4"/>
        <v>0</v>
      </c>
      <c r="G43" s="165">
        <f t="shared" si="5"/>
        <v>0</v>
      </c>
      <c r="H43" s="147">
        <f t="shared" si="6"/>
        <v>0</v>
      </c>
      <c r="I43" s="160">
        <f t="shared" si="7"/>
        <v>0</v>
      </c>
      <c r="J43" s="160"/>
      <c r="K43" s="330"/>
      <c r="L43" s="162">
        <f t="shared" si="0"/>
        <v>0</v>
      </c>
      <c r="M43" s="330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0</v>
      </c>
      <c r="E44" s="164">
        <f t="shared" si="3"/>
        <v>0</v>
      </c>
      <c r="F44" s="163">
        <f t="shared" si="4"/>
        <v>0</v>
      </c>
      <c r="G44" s="165">
        <f t="shared" si="5"/>
        <v>0</v>
      </c>
      <c r="H44" s="147">
        <f t="shared" si="6"/>
        <v>0</v>
      </c>
      <c r="I44" s="160">
        <f t="shared" si="7"/>
        <v>0</v>
      </c>
      <c r="J44" s="160"/>
      <c r="K44" s="330"/>
      <c r="L44" s="162">
        <f t="shared" si="0"/>
        <v>0</v>
      </c>
      <c r="M44" s="330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0</v>
      </c>
      <c r="E45" s="164">
        <f t="shared" si="3"/>
        <v>0</v>
      </c>
      <c r="F45" s="163">
        <f t="shared" si="4"/>
        <v>0</v>
      </c>
      <c r="G45" s="165">
        <f t="shared" si="5"/>
        <v>0</v>
      </c>
      <c r="H45" s="147">
        <f t="shared" si="6"/>
        <v>0</v>
      </c>
      <c r="I45" s="160">
        <f t="shared" si="7"/>
        <v>0</v>
      </c>
      <c r="J45" s="160"/>
      <c r="K45" s="330"/>
      <c r="L45" s="162">
        <f t="shared" si="0"/>
        <v>0</v>
      </c>
      <c r="M45" s="330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0</v>
      </c>
      <c r="E46" s="164">
        <f t="shared" si="3"/>
        <v>0</v>
      </c>
      <c r="F46" s="163">
        <f t="shared" si="4"/>
        <v>0</v>
      </c>
      <c r="G46" s="165">
        <f t="shared" si="5"/>
        <v>0</v>
      </c>
      <c r="H46" s="147">
        <f t="shared" si="6"/>
        <v>0</v>
      </c>
      <c r="I46" s="160">
        <f t="shared" si="7"/>
        <v>0</v>
      </c>
      <c r="J46" s="160"/>
      <c r="K46" s="330"/>
      <c r="L46" s="162">
        <f t="shared" si="0"/>
        <v>0</v>
      </c>
      <c r="M46" s="330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0</v>
      </c>
      <c r="E47" s="164">
        <f t="shared" si="3"/>
        <v>0</v>
      </c>
      <c r="F47" s="163">
        <f t="shared" si="4"/>
        <v>0</v>
      </c>
      <c r="G47" s="165">
        <f t="shared" si="5"/>
        <v>0</v>
      </c>
      <c r="H47" s="147">
        <f t="shared" si="6"/>
        <v>0</v>
      </c>
      <c r="I47" s="160">
        <f t="shared" si="7"/>
        <v>0</v>
      </c>
      <c r="J47" s="160"/>
      <c r="K47" s="330"/>
      <c r="L47" s="162">
        <f t="shared" si="0"/>
        <v>0</v>
      </c>
      <c r="M47" s="330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0</v>
      </c>
      <c r="E48" s="164">
        <f t="shared" si="3"/>
        <v>0</v>
      </c>
      <c r="F48" s="163">
        <f t="shared" si="4"/>
        <v>0</v>
      </c>
      <c r="G48" s="165">
        <f t="shared" si="5"/>
        <v>0</v>
      </c>
      <c r="H48" s="147">
        <f t="shared" si="6"/>
        <v>0</v>
      </c>
      <c r="I48" s="160">
        <f t="shared" si="7"/>
        <v>0</v>
      </c>
      <c r="J48" s="160"/>
      <c r="K48" s="330"/>
      <c r="L48" s="162">
        <f t="shared" si="0"/>
        <v>0</v>
      </c>
      <c r="M48" s="330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0</v>
      </c>
      <c r="E49" s="164">
        <f t="shared" si="3"/>
        <v>0</v>
      </c>
      <c r="F49" s="163">
        <f t="shared" si="4"/>
        <v>0</v>
      </c>
      <c r="G49" s="165">
        <f t="shared" si="5"/>
        <v>0</v>
      </c>
      <c r="H49" s="147">
        <f t="shared" si="6"/>
        <v>0</v>
      </c>
      <c r="I49" s="160">
        <f t="shared" si="7"/>
        <v>0</v>
      </c>
      <c r="J49" s="160"/>
      <c r="K49" s="330"/>
      <c r="L49" s="162">
        <f t="shared" ref="L49:L72" si="9">IF(K49&lt;&gt;0,+G49-K49,0)</f>
        <v>0</v>
      </c>
      <c r="M49" s="330"/>
      <c r="N49" s="162">
        <f t="shared" ref="N49:N72" si="10">IF(M49&lt;&gt;0,+H49-M49,0)</f>
        <v>0</v>
      </c>
      <c r="O49" s="162">
        <f t="shared" ref="O49:O72" si="11">+N49-L49</f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0</v>
      </c>
      <c r="E50" s="164">
        <f t="shared" si="3"/>
        <v>0</v>
      </c>
      <c r="F50" s="163">
        <f t="shared" si="4"/>
        <v>0</v>
      </c>
      <c r="G50" s="165">
        <f t="shared" si="5"/>
        <v>0</v>
      </c>
      <c r="H50" s="147">
        <f t="shared" si="6"/>
        <v>0</v>
      </c>
      <c r="I50" s="160">
        <f t="shared" si="7"/>
        <v>0</v>
      </c>
      <c r="J50" s="160"/>
      <c r="K50" s="330"/>
      <c r="L50" s="162">
        <f t="shared" si="9"/>
        <v>0</v>
      </c>
      <c r="M50" s="330"/>
      <c r="N50" s="162">
        <f t="shared" si="10"/>
        <v>0</v>
      </c>
      <c r="O50" s="162">
        <f t="shared" si="11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0</v>
      </c>
      <c r="E51" s="164">
        <f t="shared" si="3"/>
        <v>0</v>
      </c>
      <c r="F51" s="163">
        <f t="shared" si="4"/>
        <v>0</v>
      </c>
      <c r="G51" s="165">
        <f t="shared" si="5"/>
        <v>0</v>
      </c>
      <c r="H51" s="147">
        <f t="shared" si="6"/>
        <v>0</v>
      </c>
      <c r="I51" s="160">
        <f t="shared" si="7"/>
        <v>0</v>
      </c>
      <c r="J51" s="160"/>
      <c r="K51" s="330"/>
      <c r="L51" s="162">
        <f t="shared" si="9"/>
        <v>0</v>
      </c>
      <c r="M51" s="330"/>
      <c r="N51" s="162">
        <f t="shared" si="10"/>
        <v>0</v>
      </c>
      <c r="O51" s="162">
        <f t="shared" si="11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0</v>
      </c>
      <c r="E52" s="164">
        <f t="shared" si="3"/>
        <v>0</v>
      </c>
      <c r="F52" s="163">
        <f t="shared" si="4"/>
        <v>0</v>
      </c>
      <c r="G52" s="165">
        <f t="shared" si="5"/>
        <v>0</v>
      </c>
      <c r="H52" s="147">
        <f t="shared" si="6"/>
        <v>0</v>
      </c>
      <c r="I52" s="160">
        <f t="shared" si="7"/>
        <v>0</v>
      </c>
      <c r="J52" s="160"/>
      <c r="K52" s="330"/>
      <c r="L52" s="162">
        <f t="shared" si="9"/>
        <v>0</v>
      </c>
      <c r="M52" s="330"/>
      <c r="N52" s="162">
        <f t="shared" si="10"/>
        <v>0</v>
      </c>
      <c r="O52" s="162">
        <f t="shared" si="11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0</v>
      </c>
      <c r="E53" s="164">
        <f t="shared" si="3"/>
        <v>0</v>
      </c>
      <c r="F53" s="163">
        <f t="shared" si="4"/>
        <v>0</v>
      </c>
      <c r="G53" s="165">
        <f t="shared" si="5"/>
        <v>0</v>
      </c>
      <c r="H53" s="147">
        <f t="shared" si="6"/>
        <v>0</v>
      </c>
      <c r="I53" s="160">
        <f t="shared" si="7"/>
        <v>0</v>
      </c>
      <c r="J53" s="160"/>
      <c r="K53" s="330"/>
      <c r="L53" s="162">
        <f t="shared" si="9"/>
        <v>0</v>
      </c>
      <c r="M53" s="330"/>
      <c r="N53" s="162">
        <f t="shared" si="10"/>
        <v>0</v>
      </c>
      <c r="O53" s="162">
        <f t="shared" si="11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0</v>
      </c>
      <c r="E54" s="164">
        <f t="shared" si="3"/>
        <v>0</v>
      </c>
      <c r="F54" s="163">
        <f t="shared" si="4"/>
        <v>0</v>
      </c>
      <c r="G54" s="165">
        <f t="shared" si="5"/>
        <v>0</v>
      </c>
      <c r="H54" s="147">
        <f t="shared" si="6"/>
        <v>0</v>
      </c>
      <c r="I54" s="160">
        <f t="shared" si="7"/>
        <v>0</v>
      </c>
      <c r="J54" s="160"/>
      <c r="K54" s="330"/>
      <c r="L54" s="162">
        <f t="shared" si="9"/>
        <v>0</v>
      </c>
      <c r="M54" s="330"/>
      <c r="N54" s="162">
        <f t="shared" si="10"/>
        <v>0</v>
      </c>
      <c r="O54" s="162">
        <f t="shared" si="11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0</v>
      </c>
      <c r="E55" s="164">
        <f t="shared" si="3"/>
        <v>0</v>
      </c>
      <c r="F55" s="163">
        <f t="shared" si="4"/>
        <v>0</v>
      </c>
      <c r="G55" s="165">
        <f t="shared" si="5"/>
        <v>0</v>
      </c>
      <c r="H55" s="147">
        <f t="shared" si="6"/>
        <v>0</v>
      </c>
      <c r="I55" s="160">
        <f t="shared" si="7"/>
        <v>0</v>
      </c>
      <c r="J55" s="160"/>
      <c r="K55" s="330"/>
      <c r="L55" s="162">
        <f t="shared" si="9"/>
        <v>0</v>
      </c>
      <c r="M55" s="330"/>
      <c r="N55" s="162">
        <f t="shared" si="10"/>
        <v>0</v>
      </c>
      <c r="O55" s="162">
        <f t="shared" si="11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0</v>
      </c>
      <c r="E56" s="164">
        <f t="shared" si="3"/>
        <v>0</v>
      </c>
      <c r="F56" s="163">
        <f t="shared" si="4"/>
        <v>0</v>
      </c>
      <c r="G56" s="165">
        <f t="shared" si="5"/>
        <v>0</v>
      </c>
      <c r="H56" s="147">
        <f t="shared" si="6"/>
        <v>0</v>
      </c>
      <c r="I56" s="160">
        <f t="shared" si="7"/>
        <v>0</v>
      </c>
      <c r="J56" s="160"/>
      <c r="K56" s="330"/>
      <c r="L56" s="162">
        <f t="shared" si="9"/>
        <v>0</v>
      </c>
      <c r="M56" s="330"/>
      <c r="N56" s="162">
        <f t="shared" si="10"/>
        <v>0</v>
      </c>
      <c r="O56" s="162">
        <f t="shared" si="11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0</v>
      </c>
      <c r="E57" s="164">
        <f t="shared" si="3"/>
        <v>0</v>
      </c>
      <c r="F57" s="163">
        <f t="shared" si="4"/>
        <v>0</v>
      </c>
      <c r="G57" s="165">
        <f t="shared" si="5"/>
        <v>0</v>
      </c>
      <c r="H57" s="147">
        <f t="shared" si="6"/>
        <v>0</v>
      </c>
      <c r="I57" s="160">
        <f t="shared" si="7"/>
        <v>0</v>
      </c>
      <c r="J57" s="160"/>
      <c r="K57" s="330"/>
      <c r="L57" s="162">
        <f t="shared" si="9"/>
        <v>0</v>
      </c>
      <c r="M57" s="330"/>
      <c r="N57" s="162">
        <f t="shared" si="10"/>
        <v>0</v>
      </c>
      <c r="O57" s="162">
        <f t="shared" si="11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3"/>
        <v>0</v>
      </c>
      <c r="F58" s="163">
        <f t="shared" si="4"/>
        <v>0</v>
      </c>
      <c r="G58" s="165">
        <f t="shared" si="5"/>
        <v>0</v>
      </c>
      <c r="H58" s="147">
        <f t="shared" si="6"/>
        <v>0</v>
      </c>
      <c r="I58" s="160">
        <f t="shared" si="7"/>
        <v>0</v>
      </c>
      <c r="J58" s="160"/>
      <c r="K58" s="330"/>
      <c r="L58" s="162">
        <f t="shared" si="9"/>
        <v>0</v>
      </c>
      <c r="M58" s="330"/>
      <c r="N58" s="162">
        <f t="shared" si="10"/>
        <v>0</v>
      </c>
      <c r="O58" s="162">
        <f t="shared" si="11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3"/>
        <v>0</v>
      </c>
      <c r="F59" s="163">
        <f t="shared" si="4"/>
        <v>0</v>
      </c>
      <c r="G59" s="165">
        <f t="shared" si="5"/>
        <v>0</v>
      </c>
      <c r="H59" s="147">
        <f t="shared" si="6"/>
        <v>0</v>
      </c>
      <c r="I59" s="160">
        <f t="shared" si="7"/>
        <v>0</v>
      </c>
      <c r="J59" s="160"/>
      <c r="K59" s="330"/>
      <c r="L59" s="162">
        <f t="shared" si="9"/>
        <v>0</v>
      </c>
      <c r="M59" s="330"/>
      <c r="N59" s="162">
        <f t="shared" si="10"/>
        <v>0</v>
      </c>
      <c r="O59" s="162">
        <f t="shared" si="11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3"/>
        <v>0</v>
      </c>
      <c r="F60" s="163">
        <f t="shared" si="4"/>
        <v>0</v>
      </c>
      <c r="G60" s="165">
        <f t="shared" si="5"/>
        <v>0</v>
      </c>
      <c r="H60" s="147">
        <f t="shared" si="6"/>
        <v>0</v>
      </c>
      <c r="I60" s="160">
        <f t="shared" si="7"/>
        <v>0</v>
      </c>
      <c r="J60" s="160"/>
      <c r="K60" s="330"/>
      <c r="L60" s="162">
        <f t="shared" si="9"/>
        <v>0</v>
      </c>
      <c r="M60" s="330"/>
      <c r="N60" s="162">
        <f t="shared" si="10"/>
        <v>0</v>
      </c>
      <c r="O60" s="162">
        <f t="shared" si="11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3"/>
        <v>0</v>
      </c>
      <c r="F61" s="163">
        <f t="shared" si="4"/>
        <v>0</v>
      </c>
      <c r="G61" s="165">
        <f t="shared" si="5"/>
        <v>0</v>
      </c>
      <c r="H61" s="147">
        <f t="shared" si="6"/>
        <v>0</v>
      </c>
      <c r="I61" s="160">
        <f t="shared" si="7"/>
        <v>0</v>
      </c>
      <c r="J61" s="160"/>
      <c r="K61" s="330"/>
      <c r="L61" s="162">
        <f t="shared" si="9"/>
        <v>0</v>
      </c>
      <c r="M61" s="330"/>
      <c r="N61" s="162">
        <f t="shared" si="10"/>
        <v>0</v>
      </c>
      <c r="O61" s="162">
        <f t="shared" si="11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3"/>
        <v>0</v>
      </c>
      <c r="F62" s="163">
        <f t="shared" si="4"/>
        <v>0</v>
      </c>
      <c r="G62" s="165">
        <f t="shared" si="5"/>
        <v>0</v>
      </c>
      <c r="H62" s="147">
        <f t="shared" si="6"/>
        <v>0</v>
      </c>
      <c r="I62" s="160">
        <f t="shared" si="7"/>
        <v>0</v>
      </c>
      <c r="J62" s="160"/>
      <c r="K62" s="330"/>
      <c r="L62" s="162">
        <f t="shared" si="9"/>
        <v>0</v>
      </c>
      <c r="M62" s="330"/>
      <c r="N62" s="162">
        <f t="shared" si="10"/>
        <v>0</v>
      </c>
      <c r="O62" s="162">
        <f t="shared" si="11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0"/>
      <c r="L63" s="162">
        <f t="shared" si="9"/>
        <v>0</v>
      </c>
      <c r="M63" s="330"/>
      <c r="N63" s="162">
        <f t="shared" si="10"/>
        <v>0</v>
      </c>
      <c r="O63" s="162">
        <f t="shared" si="11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0"/>
      <c r="L64" s="162">
        <f t="shared" si="9"/>
        <v>0</v>
      </c>
      <c r="M64" s="330"/>
      <c r="N64" s="162">
        <f t="shared" si="10"/>
        <v>0</v>
      </c>
      <c r="O64" s="162">
        <f t="shared" si="11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0"/>
      <c r="L65" s="162">
        <f t="shared" si="9"/>
        <v>0</v>
      </c>
      <c r="M65" s="330"/>
      <c r="N65" s="162">
        <f t="shared" si="10"/>
        <v>0</v>
      </c>
      <c r="O65" s="162">
        <f t="shared" si="11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0"/>
      <c r="L66" s="162">
        <f t="shared" si="9"/>
        <v>0</v>
      </c>
      <c r="M66" s="330"/>
      <c r="N66" s="162">
        <f t="shared" si="10"/>
        <v>0</v>
      </c>
      <c r="O66" s="162">
        <f t="shared" si="11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0"/>
      <c r="L67" s="162">
        <f t="shared" si="9"/>
        <v>0</v>
      </c>
      <c r="M67" s="330"/>
      <c r="N67" s="162">
        <f t="shared" si="10"/>
        <v>0</v>
      </c>
      <c r="O67" s="162">
        <f t="shared" si="11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0"/>
      <c r="L68" s="162">
        <f t="shared" si="9"/>
        <v>0</v>
      </c>
      <c r="M68" s="330"/>
      <c r="N68" s="162">
        <f t="shared" si="10"/>
        <v>0</v>
      </c>
      <c r="O68" s="162">
        <f t="shared" si="11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0"/>
      <c r="L69" s="162">
        <f t="shared" si="9"/>
        <v>0</v>
      </c>
      <c r="M69" s="330"/>
      <c r="N69" s="162">
        <f t="shared" si="10"/>
        <v>0</v>
      </c>
      <c r="O69" s="162">
        <f t="shared" si="11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0"/>
      <c r="L70" s="162">
        <f t="shared" si="9"/>
        <v>0</v>
      </c>
      <c r="M70" s="330"/>
      <c r="N70" s="162">
        <f t="shared" si="10"/>
        <v>0</v>
      </c>
      <c r="O70" s="162">
        <f t="shared" si="11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0"/>
      <c r="L71" s="162">
        <f t="shared" si="9"/>
        <v>0</v>
      </c>
      <c r="M71" s="330"/>
      <c r="N71" s="162">
        <f t="shared" si="10"/>
        <v>0</v>
      </c>
      <c r="O71" s="162">
        <f t="shared" si="11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36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2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1"/>
      <c r="L72" s="173">
        <f t="shared" si="9"/>
        <v>0</v>
      </c>
      <c r="M72" s="331"/>
      <c r="N72" s="173">
        <f t="shared" si="10"/>
        <v>0</v>
      </c>
      <c r="O72" s="173">
        <f t="shared" si="11"/>
        <v>0</v>
      </c>
      <c r="P72" s="4"/>
    </row>
    <row r="73" spans="2:16">
      <c r="C73" s="158" t="s">
        <v>77</v>
      </c>
      <c r="D73" s="115"/>
      <c r="E73" s="115">
        <f>SUM(E17:E72)</f>
        <v>0</v>
      </c>
      <c r="F73" s="115"/>
      <c r="G73" s="115">
        <f>SUM(G17:G72)</f>
        <v>0</v>
      </c>
      <c r="H73" s="115">
        <f>SUM(H17:H72)</f>
        <v>0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nk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inset project name here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222">
        <f>IF(D11=I10,0,D10)</f>
        <v>0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v>2015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4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151" t="s">
        <v>102</v>
      </c>
      <c r="M97" s="151" t="s">
        <v>99</v>
      </c>
      <c r="N97" s="151" t="s">
        <v>102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2015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>+J$94*G99+E99</f>
        <v>0</v>
      </c>
      <c r="I99" s="218">
        <f>+J$95*G99+E99</f>
        <v>0</v>
      </c>
      <c r="J99" s="162">
        <f>+I99-H99</f>
        <v>0</v>
      </c>
      <c r="K99" s="162"/>
      <c r="L99" s="329"/>
      <c r="M99" s="161">
        <f t="shared" ref="M99:M130" si="12">IF(L99&lt;&gt;0,+H99-L99,0)</f>
        <v>0</v>
      </c>
      <c r="N99" s="329"/>
      <c r="O99" s="161">
        <f t="shared" ref="O99:O130" si="13">IF(N99&lt;&gt;0,+I99-N99,0)</f>
        <v>0</v>
      </c>
      <c r="P99" s="161">
        <f t="shared" ref="P99:P130" si="14">+O99-M99</f>
        <v>0</v>
      </c>
    </row>
    <row r="100" spans="1:16">
      <c r="B100" s="9" t="str">
        <f>IF(D100=F99,"","IU")</f>
        <v/>
      </c>
      <c r="C100" s="157">
        <f>IF(D93="","-",+C99+1)</f>
        <v>2016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28">
        <f t="shared" ref="H100:H154" si="15">+J$94*G100+E100</f>
        <v>0</v>
      </c>
      <c r="I100" s="339">
        <f t="shared" ref="I100:I154" si="16">+J$95*G100+E100</f>
        <v>0</v>
      </c>
      <c r="J100" s="162">
        <f t="shared" ref="J100:J130" si="17">+I100-H100</f>
        <v>0</v>
      </c>
      <c r="K100" s="162"/>
      <c r="L100" s="330"/>
      <c r="M100" s="162">
        <f t="shared" si="12"/>
        <v>0</v>
      </c>
      <c r="N100" s="330"/>
      <c r="O100" s="162">
        <f t="shared" si="13"/>
        <v>0</v>
      </c>
      <c r="P100" s="162">
        <f t="shared" si="14"/>
        <v>0</v>
      </c>
    </row>
    <row r="101" spans="1:16">
      <c r="B101" s="9" t="str">
        <f t="shared" ref="B101:B154" si="18">IF(D101=F100,"","IU")</f>
        <v/>
      </c>
      <c r="C101" s="157">
        <f>IF(D93="","-",+C100+1)</f>
        <v>2017</v>
      </c>
      <c r="D101" s="158">
        <f>IF(F100+SUM(E$99:E100)=D$92,F100,D$92-SUM(E$99:E100))</f>
        <v>0</v>
      </c>
      <c r="E101" s="164">
        <f t="shared" ref="E101:E154" si="19">IF(+J$96&lt;F100,J$96,D101)</f>
        <v>0</v>
      </c>
      <c r="F101" s="163">
        <f t="shared" ref="F101:F154" si="20">+D101-E101</f>
        <v>0</v>
      </c>
      <c r="G101" s="163">
        <f t="shared" ref="G101:G154" si="21">+(F101+D101)/2</f>
        <v>0</v>
      </c>
      <c r="H101" s="328">
        <f t="shared" si="15"/>
        <v>0</v>
      </c>
      <c r="I101" s="339">
        <f t="shared" si="16"/>
        <v>0</v>
      </c>
      <c r="J101" s="162">
        <f t="shared" si="17"/>
        <v>0</v>
      </c>
      <c r="K101" s="162"/>
      <c r="L101" s="330"/>
      <c r="M101" s="162">
        <f t="shared" si="12"/>
        <v>0</v>
      </c>
      <c r="N101" s="330"/>
      <c r="O101" s="162">
        <f t="shared" si="13"/>
        <v>0</v>
      </c>
      <c r="P101" s="162">
        <f t="shared" si="14"/>
        <v>0</v>
      </c>
    </row>
    <row r="102" spans="1:16">
      <c r="B102" s="9" t="str">
        <f t="shared" si="18"/>
        <v/>
      </c>
      <c r="C102" s="157">
        <f>IF(D93="","-",+C101+1)</f>
        <v>2018</v>
      </c>
      <c r="D102" s="158">
        <f>IF(F101+SUM(E$99:E101)=D$92,F101,D$92-SUM(E$99:E101))</f>
        <v>0</v>
      </c>
      <c r="E102" s="164">
        <f t="shared" si="19"/>
        <v>0</v>
      </c>
      <c r="F102" s="163">
        <f t="shared" si="20"/>
        <v>0</v>
      </c>
      <c r="G102" s="163">
        <f t="shared" si="21"/>
        <v>0</v>
      </c>
      <c r="H102" s="328">
        <f t="shared" si="15"/>
        <v>0</v>
      </c>
      <c r="I102" s="339">
        <f t="shared" si="16"/>
        <v>0</v>
      </c>
      <c r="J102" s="162">
        <f t="shared" si="17"/>
        <v>0</v>
      </c>
      <c r="K102" s="162"/>
      <c r="L102" s="330"/>
      <c r="M102" s="162">
        <f t="shared" si="12"/>
        <v>0</v>
      </c>
      <c r="N102" s="330"/>
      <c r="O102" s="162">
        <f t="shared" si="13"/>
        <v>0</v>
      </c>
      <c r="P102" s="162">
        <f t="shared" si="14"/>
        <v>0</v>
      </c>
    </row>
    <row r="103" spans="1:16">
      <c r="B103" s="9" t="str">
        <f t="shared" si="18"/>
        <v/>
      </c>
      <c r="C103" s="157">
        <f>IF(D93="","-",+C102+1)</f>
        <v>2019</v>
      </c>
      <c r="D103" s="158">
        <f>IF(F102+SUM(E$99:E102)=D$92,F102,D$92-SUM(E$99:E102))</f>
        <v>0</v>
      </c>
      <c r="E103" s="164">
        <f t="shared" si="19"/>
        <v>0</v>
      </c>
      <c r="F103" s="163">
        <f t="shared" si="20"/>
        <v>0</v>
      </c>
      <c r="G103" s="163">
        <f t="shared" si="21"/>
        <v>0</v>
      </c>
      <c r="H103" s="328">
        <f t="shared" si="15"/>
        <v>0</v>
      </c>
      <c r="I103" s="339">
        <f t="shared" si="16"/>
        <v>0</v>
      </c>
      <c r="J103" s="162">
        <f t="shared" si="17"/>
        <v>0</v>
      </c>
      <c r="K103" s="162"/>
      <c r="L103" s="330"/>
      <c r="M103" s="162">
        <f t="shared" si="12"/>
        <v>0</v>
      </c>
      <c r="N103" s="330"/>
      <c r="O103" s="162">
        <f t="shared" si="13"/>
        <v>0</v>
      </c>
      <c r="P103" s="162">
        <f t="shared" si="14"/>
        <v>0</v>
      </c>
    </row>
    <row r="104" spans="1:16">
      <c r="B104" s="9" t="str">
        <f t="shared" si="18"/>
        <v/>
      </c>
      <c r="C104" s="157">
        <f>IF(D93="","-",+C103+1)</f>
        <v>2020</v>
      </c>
      <c r="D104" s="158">
        <f>IF(F103+SUM(E$99:E103)=D$92,F103,D$92-SUM(E$99:E103))</f>
        <v>0</v>
      </c>
      <c r="E104" s="164">
        <f t="shared" si="19"/>
        <v>0</v>
      </c>
      <c r="F104" s="163">
        <f t="shared" si="20"/>
        <v>0</v>
      </c>
      <c r="G104" s="163">
        <f t="shared" si="21"/>
        <v>0</v>
      </c>
      <c r="H104" s="328">
        <f t="shared" si="15"/>
        <v>0</v>
      </c>
      <c r="I104" s="339">
        <f t="shared" si="16"/>
        <v>0</v>
      </c>
      <c r="J104" s="162">
        <f t="shared" si="17"/>
        <v>0</v>
      </c>
      <c r="K104" s="162"/>
      <c r="L104" s="330"/>
      <c r="M104" s="162">
        <f t="shared" si="12"/>
        <v>0</v>
      </c>
      <c r="N104" s="330"/>
      <c r="O104" s="162">
        <f t="shared" si="13"/>
        <v>0</v>
      </c>
      <c r="P104" s="162">
        <f t="shared" si="14"/>
        <v>0</v>
      </c>
    </row>
    <row r="105" spans="1:16">
      <c r="B105" s="9" t="str">
        <f t="shared" si="18"/>
        <v/>
      </c>
      <c r="C105" s="157">
        <f>IF(D93="","-",+C104+1)</f>
        <v>2021</v>
      </c>
      <c r="D105" s="158">
        <f>IF(F104+SUM(E$99:E104)=D$92,F104,D$92-SUM(E$99:E104))</f>
        <v>0</v>
      </c>
      <c r="E105" s="164">
        <f t="shared" si="19"/>
        <v>0</v>
      </c>
      <c r="F105" s="163">
        <f t="shared" si="20"/>
        <v>0</v>
      </c>
      <c r="G105" s="163">
        <f t="shared" si="21"/>
        <v>0</v>
      </c>
      <c r="H105" s="328">
        <f t="shared" si="15"/>
        <v>0</v>
      </c>
      <c r="I105" s="339">
        <f t="shared" si="16"/>
        <v>0</v>
      </c>
      <c r="J105" s="162">
        <f t="shared" si="17"/>
        <v>0</v>
      </c>
      <c r="K105" s="162"/>
      <c r="L105" s="330"/>
      <c r="M105" s="162">
        <f t="shared" si="12"/>
        <v>0</v>
      </c>
      <c r="N105" s="330"/>
      <c r="O105" s="162">
        <f t="shared" si="13"/>
        <v>0</v>
      </c>
      <c r="P105" s="162">
        <f t="shared" si="14"/>
        <v>0</v>
      </c>
    </row>
    <row r="106" spans="1:16">
      <c r="B106" s="9" t="str">
        <f t="shared" si="18"/>
        <v/>
      </c>
      <c r="C106" s="157">
        <f>IF(D93="","-",+C105+1)</f>
        <v>2022</v>
      </c>
      <c r="D106" s="158">
        <f>IF(F105+SUM(E$99:E105)=D$92,F105,D$92-SUM(E$99:E105))</f>
        <v>0</v>
      </c>
      <c r="E106" s="164">
        <f t="shared" si="19"/>
        <v>0</v>
      </c>
      <c r="F106" s="163">
        <f t="shared" si="20"/>
        <v>0</v>
      </c>
      <c r="G106" s="163">
        <f t="shared" si="21"/>
        <v>0</v>
      </c>
      <c r="H106" s="328">
        <f t="shared" si="15"/>
        <v>0</v>
      </c>
      <c r="I106" s="339">
        <f t="shared" si="16"/>
        <v>0</v>
      </c>
      <c r="J106" s="162">
        <f t="shared" si="17"/>
        <v>0</v>
      </c>
      <c r="K106" s="162"/>
      <c r="L106" s="330"/>
      <c r="M106" s="162">
        <f t="shared" si="12"/>
        <v>0</v>
      </c>
      <c r="N106" s="330"/>
      <c r="O106" s="162">
        <f t="shared" si="13"/>
        <v>0</v>
      </c>
      <c r="P106" s="162">
        <f t="shared" si="14"/>
        <v>0</v>
      </c>
    </row>
    <row r="107" spans="1:16">
      <c r="B107" s="9" t="str">
        <f t="shared" si="18"/>
        <v/>
      </c>
      <c r="C107" s="157">
        <f>IF(D93="","-",+C106+1)</f>
        <v>2023</v>
      </c>
      <c r="D107" s="158">
        <f>IF(F106+SUM(E$99:E106)=D$92,F106,D$92-SUM(E$99:E106))</f>
        <v>0</v>
      </c>
      <c r="E107" s="164">
        <f t="shared" si="19"/>
        <v>0</v>
      </c>
      <c r="F107" s="163">
        <f t="shared" si="20"/>
        <v>0</v>
      </c>
      <c r="G107" s="163">
        <f t="shared" si="21"/>
        <v>0</v>
      </c>
      <c r="H107" s="328">
        <f t="shared" si="15"/>
        <v>0</v>
      </c>
      <c r="I107" s="339">
        <f t="shared" si="16"/>
        <v>0</v>
      </c>
      <c r="J107" s="162">
        <f t="shared" si="17"/>
        <v>0</v>
      </c>
      <c r="K107" s="162"/>
      <c r="L107" s="330"/>
      <c r="M107" s="162">
        <f t="shared" si="12"/>
        <v>0</v>
      </c>
      <c r="N107" s="330"/>
      <c r="O107" s="162">
        <f t="shared" si="13"/>
        <v>0</v>
      </c>
      <c r="P107" s="162">
        <f t="shared" si="14"/>
        <v>0</v>
      </c>
    </row>
    <row r="108" spans="1:16">
      <c r="B108" s="9" t="str">
        <f t="shared" si="18"/>
        <v/>
      </c>
      <c r="C108" s="157">
        <f>IF(D93="","-",+C107+1)</f>
        <v>2024</v>
      </c>
      <c r="D108" s="158">
        <f>IF(F107+SUM(E$99:E107)=D$92,F107,D$92-SUM(E$99:E107))</f>
        <v>0</v>
      </c>
      <c r="E108" s="164">
        <f t="shared" si="19"/>
        <v>0</v>
      </c>
      <c r="F108" s="163">
        <f t="shared" si="20"/>
        <v>0</v>
      </c>
      <c r="G108" s="163">
        <f t="shared" si="21"/>
        <v>0</v>
      </c>
      <c r="H108" s="328">
        <f t="shared" si="15"/>
        <v>0</v>
      </c>
      <c r="I108" s="339">
        <f t="shared" si="16"/>
        <v>0</v>
      </c>
      <c r="J108" s="162">
        <f t="shared" si="17"/>
        <v>0</v>
      </c>
      <c r="K108" s="162"/>
      <c r="L108" s="330"/>
      <c r="M108" s="162">
        <f t="shared" si="12"/>
        <v>0</v>
      </c>
      <c r="N108" s="330"/>
      <c r="O108" s="162">
        <f t="shared" si="13"/>
        <v>0</v>
      </c>
      <c r="P108" s="162">
        <f t="shared" si="14"/>
        <v>0</v>
      </c>
    </row>
    <row r="109" spans="1:16">
      <c r="B109" s="9" t="str">
        <f t="shared" si="18"/>
        <v/>
      </c>
      <c r="C109" s="157">
        <f>IF(D93="","-",+C108+1)</f>
        <v>2025</v>
      </c>
      <c r="D109" s="158">
        <f>IF(F108+SUM(E$99:E108)=D$92,F108,D$92-SUM(E$99:E108))</f>
        <v>0</v>
      </c>
      <c r="E109" s="164">
        <f t="shared" si="19"/>
        <v>0</v>
      </c>
      <c r="F109" s="163">
        <f t="shared" si="20"/>
        <v>0</v>
      </c>
      <c r="G109" s="163">
        <f t="shared" si="21"/>
        <v>0</v>
      </c>
      <c r="H109" s="328">
        <f t="shared" si="15"/>
        <v>0</v>
      </c>
      <c r="I109" s="339">
        <f t="shared" si="16"/>
        <v>0</v>
      </c>
      <c r="J109" s="162">
        <f t="shared" si="17"/>
        <v>0</v>
      </c>
      <c r="K109" s="162"/>
      <c r="L109" s="330"/>
      <c r="M109" s="162">
        <f t="shared" si="12"/>
        <v>0</v>
      </c>
      <c r="N109" s="330"/>
      <c r="O109" s="162">
        <f t="shared" si="13"/>
        <v>0</v>
      </c>
      <c r="P109" s="162">
        <f t="shared" si="14"/>
        <v>0</v>
      </c>
    </row>
    <row r="110" spans="1:16">
      <c r="B110" s="9" t="str">
        <f t="shared" si="18"/>
        <v/>
      </c>
      <c r="C110" s="157">
        <f>IF(D93="","-",+C109+1)</f>
        <v>2026</v>
      </c>
      <c r="D110" s="158">
        <f>IF(F109+SUM(E$99:E109)=D$92,F109,D$92-SUM(E$99:E109))</f>
        <v>0</v>
      </c>
      <c r="E110" s="164">
        <f t="shared" si="19"/>
        <v>0</v>
      </c>
      <c r="F110" s="163">
        <f t="shared" si="20"/>
        <v>0</v>
      </c>
      <c r="G110" s="163">
        <f t="shared" si="21"/>
        <v>0</v>
      </c>
      <c r="H110" s="328">
        <f t="shared" si="15"/>
        <v>0</v>
      </c>
      <c r="I110" s="339">
        <f t="shared" si="16"/>
        <v>0</v>
      </c>
      <c r="J110" s="162">
        <f t="shared" si="17"/>
        <v>0</v>
      </c>
      <c r="K110" s="162"/>
      <c r="L110" s="330"/>
      <c r="M110" s="162">
        <f t="shared" si="12"/>
        <v>0</v>
      </c>
      <c r="N110" s="330"/>
      <c r="O110" s="162">
        <f t="shared" si="13"/>
        <v>0</v>
      </c>
      <c r="P110" s="162">
        <f t="shared" si="14"/>
        <v>0</v>
      </c>
    </row>
    <row r="111" spans="1:16">
      <c r="B111" s="9" t="str">
        <f t="shared" si="18"/>
        <v/>
      </c>
      <c r="C111" s="157">
        <f>IF(D93="","-",+C110+1)</f>
        <v>2027</v>
      </c>
      <c r="D111" s="158">
        <f>IF(F110+SUM(E$99:E110)=D$92,F110,D$92-SUM(E$99:E110))</f>
        <v>0</v>
      </c>
      <c r="E111" s="164">
        <f t="shared" si="19"/>
        <v>0</v>
      </c>
      <c r="F111" s="163">
        <f t="shared" si="20"/>
        <v>0</v>
      </c>
      <c r="G111" s="163">
        <f t="shared" si="21"/>
        <v>0</v>
      </c>
      <c r="H111" s="328">
        <f t="shared" si="15"/>
        <v>0</v>
      </c>
      <c r="I111" s="339">
        <f t="shared" si="16"/>
        <v>0</v>
      </c>
      <c r="J111" s="162">
        <f t="shared" si="17"/>
        <v>0</v>
      </c>
      <c r="K111" s="162"/>
      <c r="L111" s="330"/>
      <c r="M111" s="162">
        <f t="shared" si="12"/>
        <v>0</v>
      </c>
      <c r="N111" s="330"/>
      <c r="O111" s="162">
        <f t="shared" si="13"/>
        <v>0</v>
      </c>
      <c r="P111" s="162">
        <f t="shared" si="14"/>
        <v>0</v>
      </c>
    </row>
    <row r="112" spans="1:16">
      <c r="B112" s="9" t="str">
        <f t="shared" si="18"/>
        <v/>
      </c>
      <c r="C112" s="157">
        <f>IF(D93="","-",+C111+1)</f>
        <v>2028</v>
      </c>
      <c r="D112" s="158">
        <f>IF(F111+SUM(E$99:E111)=D$92,F111,D$92-SUM(E$99:E111))</f>
        <v>0</v>
      </c>
      <c r="E112" s="164">
        <f t="shared" si="19"/>
        <v>0</v>
      </c>
      <c r="F112" s="163">
        <f t="shared" si="20"/>
        <v>0</v>
      </c>
      <c r="G112" s="163">
        <f t="shared" si="21"/>
        <v>0</v>
      </c>
      <c r="H112" s="328">
        <f t="shared" si="15"/>
        <v>0</v>
      </c>
      <c r="I112" s="339">
        <f t="shared" si="16"/>
        <v>0</v>
      </c>
      <c r="J112" s="162">
        <f t="shared" si="17"/>
        <v>0</v>
      </c>
      <c r="K112" s="162"/>
      <c r="L112" s="330"/>
      <c r="M112" s="162">
        <f t="shared" si="12"/>
        <v>0</v>
      </c>
      <c r="N112" s="330"/>
      <c r="O112" s="162">
        <f t="shared" si="13"/>
        <v>0</v>
      </c>
      <c r="P112" s="162">
        <f t="shared" si="14"/>
        <v>0</v>
      </c>
    </row>
    <row r="113" spans="2:16">
      <c r="B113" s="9" t="str">
        <f t="shared" si="18"/>
        <v/>
      </c>
      <c r="C113" s="157">
        <f>IF(D93="","-",+C112+1)</f>
        <v>2029</v>
      </c>
      <c r="D113" s="158">
        <f>IF(F112+SUM(E$99:E112)=D$92,F112,D$92-SUM(E$99:E112))</f>
        <v>0</v>
      </c>
      <c r="E113" s="164">
        <f t="shared" si="19"/>
        <v>0</v>
      </c>
      <c r="F113" s="163">
        <f t="shared" si="20"/>
        <v>0</v>
      </c>
      <c r="G113" s="163">
        <f t="shared" si="21"/>
        <v>0</v>
      </c>
      <c r="H113" s="328">
        <f t="shared" si="15"/>
        <v>0</v>
      </c>
      <c r="I113" s="339">
        <f t="shared" si="16"/>
        <v>0</v>
      </c>
      <c r="J113" s="162">
        <f t="shared" si="17"/>
        <v>0</v>
      </c>
      <c r="K113" s="162"/>
      <c r="L113" s="330"/>
      <c r="M113" s="162">
        <f t="shared" si="12"/>
        <v>0</v>
      </c>
      <c r="N113" s="330"/>
      <c r="O113" s="162">
        <f t="shared" si="13"/>
        <v>0</v>
      </c>
      <c r="P113" s="162">
        <f t="shared" si="14"/>
        <v>0</v>
      </c>
    </row>
    <row r="114" spans="2:16">
      <c r="B114" s="9" t="str">
        <f t="shared" si="18"/>
        <v/>
      </c>
      <c r="C114" s="157">
        <f>IF(D93="","-",+C113+1)</f>
        <v>2030</v>
      </c>
      <c r="D114" s="158">
        <f>IF(F113+SUM(E$99:E113)=D$92,F113,D$92-SUM(E$99:E113))</f>
        <v>0</v>
      </c>
      <c r="E114" s="164">
        <f t="shared" si="19"/>
        <v>0</v>
      </c>
      <c r="F114" s="163">
        <f t="shared" si="20"/>
        <v>0</v>
      </c>
      <c r="G114" s="163">
        <f t="shared" si="21"/>
        <v>0</v>
      </c>
      <c r="H114" s="328">
        <f t="shared" si="15"/>
        <v>0</v>
      </c>
      <c r="I114" s="339">
        <f t="shared" si="16"/>
        <v>0</v>
      </c>
      <c r="J114" s="162">
        <f t="shared" si="17"/>
        <v>0</v>
      </c>
      <c r="K114" s="162"/>
      <c r="L114" s="330"/>
      <c r="M114" s="162">
        <f t="shared" si="12"/>
        <v>0</v>
      </c>
      <c r="N114" s="330"/>
      <c r="O114" s="162">
        <f t="shared" si="13"/>
        <v>0</v>
      </c>
      <c r="P114" s="162">
        <f t="shared" si="14"/>
        <v>0</v>
      </c>
    </row>
    <row r="115" spans="2:16">
      <c r="B115" s="9" t="str">
        <f t="shared" si="18"/>
        <v/>
      </c>
      <c r="C115" s="157">
        <f>IF(D93="","-",+C114+1)</f>
        <v>2031</v>
      </c>
      <c r="D115" s="158">
        <f>IF(F114+SUM(E$99:E114)=D$92,F114,D$92-SUM(E$99:E114))</f>
        <v>0</v>
      </c>
      <c r="E115" s="164">
        <f t="shared" si="19"/>
        <v>0</v>
      </c>
      <c r="F115" s="163">
        <f t="shared" si="20"/>
        <v>0</v>
      </c>
      <c r="G115" s="163">
        <f t="shared" si="21"/>
        <v>0</v>
      </c>
      <c r="H115" s="328">
        <f t="shared" si="15"/>
        <v>0</v>
      </c>
      <c r="I115" s="339">
        <f t="shared" si="16"/>
        <v>0</v>
      </c>
      <c r="J115" s="162">
        <f t="shared" si="17"/>
        <v>0</v>
      </c>
      <c r="K115" s="162"/>
      <c r="L115" s="330"/>
      <c r="M115" s="162">
        <f t="shared" si="12"/>
        <v>0</v>
      </c>
      <c r="N115" s="330"/>
      <c r="O115" s="162">
        <f t="shared" si="13"/>
        <v>0</v>
      </c>
      <c r="P115" s="162">
        <f t="shared" si="14"/>
        <v>0</v>
      </c>
    </row>
    <row r="116" spans="2:16">
      <c r="B116" s="9" t="str">
        <f t="shared" si="18"/>
        <v/>
      </c>
      <c r="C116" s="157">
        <f>IF(D93="","-",+C115+1)</f>
        <v>2032</v>
      </c>
      <c r="D116" s="158">
        <f>IF(F115+SUM(E$99:E115)=D$92,F115,D$92-SUM(E$99:E115))</f>
        <v>0</v>
      </c>
      <c r="E116" s="164">
        <f t="shared" si="19"/>
        <v>0</v>
      </c>
      <c r="F116" s="163">
        <f t="shared" si="20"/>
        <v>0</v>
      </c>
      <c r="G116" s="163">
        <f t="shared" si="21"/>
        <v>0</v>
      </c>
      <c r="H116" s="328">
        <f t="shared" si="15"/>
        <v>0</v>
      </c>
      <c r="I116" s="339">
        <f t="shared" si="16"/>
        <v>0</v>
      </c>
      <c r="J116" s="162">
        <f t="shared" si="17"/>
        <v>0</v>
      </c>
      <c r="K116" s="162"/>
      <c r="L116" s="330"/>
      <c r="M116" s="162">
        <f t="shared" si="12"/>
        <v>0</v>
      </c>
      <c r="N116" s="330"/>
      <c r="O116" s="162">
        <f t="shared" si="13"/>
        <v>0</v>
      </c>
      <c r="P116" s="162">
        <f t="shared" si="14"/>
        <v>0</v>
      </c>
    </row>
    <row r="117" spans="2:16">
      <c r="B117" s="9" t="str">
        <f t="shared" si="18"/>
        <v/>
      </c>
      <c r="C117" s="157">
        <f>IF(D93="","-",+C116+1)</f>
        <v>2033</v>
      </c>
      <c r="D117" s="158">
        <f>IF(F116+SUM(E$99:E116)=D$92,F116,D$92-SUM(E$99:E116))</f>
        <v>0</v>
      </c>
      <c r="E117" s="164">
        <f t="shared" si="19"/>
        <v>0</v>
      </c>
      <c r="F117" s="163">
        <f t="shared" si="20"/>
        <v>0</v>
      </c>
      <c r="G117" s="163">
        <f t="shared" si="21"/>
        <v>0</v>
      </c>
      <c r="H117" s="328">
        <f t="shared" si="15"/>
        <v>0</v>
      </c>
      <c r="I117" s="339">
        <f t="shared" si="16"/>
        <v>0</v>
      </c>
      <c r="J117" s="162">
        <f t="shared" si="17"/>
        <v>0</v>
      </c>
      <c r="K117" s="162"/>
      <c r="L117" s="330"/>
      <c r="M117" s="162">
        <f t="shared" si="12"/>
        <v>0</v>
      </c>
      <c r="N117" s="330"/>
      <c r="O117" s="162">
        <f t="shared" si="13"/>
        <v>0</v>
      </c>
      <c r="P117" s="162">
        <f t="shared" si="14"/>
        <v>0</v>
      </c>
    </row>
    <row r="118" spans="2:16">
      <c r="B118" s="9" t="str">
        <f t="shared" si="18"/>
        <v/>
      </c>
      <c r="C118" s="157">
        <f>IF(D93="","-",+C117+1)</f>
        <v>2034</v>
      </c>
      <c r="D118" s="158">
        <f>IF(F117+SUM(E$99:E117)=D$92,F117,D$92-SUM(E$99:E117))</f>
        <v>0</v>
      </c>
      <c r="E118" s="164">
        <f t="shared" si="19"/>
        <v>0</v>
      </c>
      <c r="F118" s="163">
        <f t="shared" si="20"/>
        <v>0</v>
      </c>
      <c r="G118" s="163">
        <f t="shared" si="21"/>
        <v>0</v>
      </c>
      <c r="H118" s="328">
        <f t="shared" si="15"/>
        <v>0</v>
      </c>
      <c r="I118" s="339">
        <f t="shared" si="16"/>
        <v>0</v>
      </c>
      <c r="J118" s="162">
        <f t="shared" si="17"/>
        <v>0</v>
      </c>
      <c r="K118" s="162"/>
      <c r="L118" s="330"/>
      <c r="M118" s="162">
        <f t="shared" si="12"/>
        <v>0</v>
      </c>
      <c r="N118" s="330"/>
      <c r="O118" s="162">
        <f t="shared" si="13"/>
        <v>0</v>
      </c>
      <c r="P118" s="162">
        <f t="shared" si="14"/>
        <v>0</v>
      </c>
    </row>
    <row r="119" spans="2:16">
      <c r="B119" s="9" t="str">
        <f t="shared" si="18"/>
        <v/>
      </c>
      <c r="C119" s="157">
        <f>IF(D93="","-",+C118+1)</f>
        <v>2035</v>
      </c>
      <c r="D119" s="158">
        <f>IF(F118+SUM(E$99:E118)=D$92,F118,D$92-SUM(E$99:E118))</f>
        <v>0</v>
      </c>
      <c r="E119" s="164">
        <f t="shared" si="19"/>
        <v>0</v>
      </c>
      <c r="F119" s="163">
        <f t="shared" si="20"/>
        <v>0</v>
      </c>
      <c r="G119" s="163">
        <f t="shared" si="21"/>
        <v>0</v>
      </c>
      <c r="H119" s="328">
        <f t="shared" si="15"/>
        <v>0</v>
      </c>
      <c r="I119" s="339">
        <f t="shared" si="16"/>
        <v>0</v>
      </c>
      <c r="J119" s="162">
        <f t="shared" si="17"/>
        <v>0</v>
      </c>
      <c r="K119" s="162"/>
      <c r="L119" s="330"/>
      <c r="M119" s="162">
        <f t="shared" si="12"/>
        <v>0</v>
      </c>
      <c r="N119" s="330"/>
      <c r="O119" s="162">
        <f t="shared" si="13"/>
        <v>0</v>
      </c>
      <c r="P119" s="162">
        <f t="shared" si="14"/>
        <v>0</v>
      </c>
    </row>
    <row r="120" spans="2:16">
      <c r="B120" s="9" t="str">
        <f t="shared" si="18"/>
        <v/>
      </c>
      <c r="C120" s="157">
        <f>IF(D93="","-",+C119+1)</f>
        <v>2036</v>
      </c>
      <c r="D120" s="158">
        <f>IF(F119+SUM(E$99:E119)=D$92,F119,D$92-SUM(E$99:E119))</f>
        <v>0</v>
      </c>
      <c r="E120" s="164">
        <f t="shared" si="19"/>
        <v>0</v>
      </c>
      <c r="F120" s="163">
        <f t="shared" si="20"/>
        <v>0</v>
      </c>
      <c r="G120" s="163">
        <f t="shared" si="21"/>
        <v>0</v>
      </c>
      <c r="H120" s="328">
        <f t="shared" si="15"/>
        <v>0</v>
      </c>
      <c r="I120" s="339">
        <f t="shared" si="16"/>
        <v>0</v>
      </c>
      <c r="J120" s="162">
        <f t="shared" si="17"/>
        <v>0</v>
      </c>
      <c r="K120" s="162"/>
      <c r="L120" s="330"/>
      <c r="M120" s="162">
        <f t="shared" si="12"/>
        <v>0</v>
      </c>
      <c r="N120" s="330"/>
      <c r="O120" s="162">
        <f t="shared" si="13"/>
        <v>0</v>
      </c>
      <c r="P120" s="162">
        <f t="shared" si="14"/>
        <v>0</v>
      </c>
    </row>
    <row r="121" spans="2:16">
      <c r="B121" s="9" t="str">
        <f t="shared" si="18"/>
        <v/>
      </c>
      <c r="C121" s="157">
        <f>IF(D93="","-",+C120+1)</f>
        <v>2037</v>
      </c>
      <c r="D121" s="158">
        <f>IF(F120+SUM(E$99:E120)=D$92,F120,D$92-SUM(E$99:E120))</f>
        <v>0</v>
      </c>
      <c r="E121" s="164">
        <f t="shared" si="19"/>
        <v>0</v>
      </c>
      <c r="F121" s="163">
        <f t="shared" si="20"/>
        <v>0</v>
      </c>
      <c r="G121" s="163">
        <f t="shared" si="21"/>
        <v>0</v>
      </c>
      <c r="H121" s="328">
        <f t="shared" si="15"/>
        <v>0</v>
      </c>
      <c r="I121" s="339">
        <f t="shared" si="16"/>
        <v>0</v>
      </c>
      <c r="J121" s="162">
        <f t="shared" si="17"/>
        <v>0</v>
      </c>
      <c r="K121" s="162"/>
      <c r="L121" s="330"/>
      <c r="M121" s="162">
        <f t="shared" si="12"/>
        <v>0</v>
      </c>
      <c r="N121" s="330"/>
      <c r="O121" s="162">
        <f t="shared" si="13"/>
        <v>0</v>
      </c>
      <c r="P121" s="162">
        <f t="shared" si="14"/>
        <v>0</v>
      </c>
    </row>
    <row r="122" spans="2:16">
      <c r="B122" s="9" t="str">
        <f t="shared" si="18"/>
        <v/>
      </c>
      <c r="C122" s="157">
        <f>IF(D93="","-",+C121+1)</f>
        <v>2038</v>
      </c>
      <c r="D122" s="158">
        <f>IF(F121+SUM(E$99:E121)=D$92,F121,D$92-SUM(E$99:E121))</f>
        <v>0</v>
      </c>
      <c r="E122" s="164">
        <f t="shared" si="19"/>
        <v>0</v>
      </c>
      <c r="F122" s="163">
        <f t="shared" si="20"/>
        <v>0</v>
      </c>
      <c r="G122" s="163">
        <f t="shared" si="21"/>
        <v>0</v>
      </c>
      <c r="H122" s="328">
        <f t="shared" si="15"/>
        <v>0</v>
      </c>
      <c r="I122" s="339">
        <f t="shared" si="16"/>
        <v>0</v>
      </c>
      <c r="J122" s="162">
        <f t="shared" si="17"/>
        <v>0</v>
      </c>
      <c r="K122" s="162"/>
      <c r="L122" s="330"/>
      <c r="M122" s="162">
        <f t="shared" si="12"/>
        <v>0</v>
      </c>
      <c r="N122" s="330"/>
      <c r="O122" s="162">
        <f t="shared" si="13"/>
        <v>0</v>
      </c>
      <c r="P122" s="162">
        <f t="shared" si="14"/>
        <v>0</v>
      </c>
    </row>
    <row r="123" spans="2:16">
      <c r="B123" s="9" t="str">
        <f t="shared" si="18"/>
        <v/>
      </c>
      <c r="C123" s="157">
        <f>IF(D93="","-",+C122+1)</f>
        <v>2039</v>
      </c>
      <c r="D123" s="158">
        <f>IF(F122+SUM(E$99:E122)=D$92,F122,D$92-SUM(E$99:E122))</f>
        <v>0</v>
      </c>
      <c r="E123" s="164">
        <f t="shared" si="19"/>
        <v>0</v>
      </c>
      <c r="F123" s="163">
        <f t="shared" si="20"/>
        <v>0</v>
      </c>
      <c r="G123" s="163">
        <f t="shared" si="21"/>
        <v>0</v>
      </c>
      <c r="H123" s="328">
        <f t="shared" si="15"/>
        <v>0</v>
      </c>
      <c r="I123" s="339">
        <f t="shared" si="16"/>
        <v>0</v>
      </c>
      <c r="J123" s="162">
        <f t="shared" si="17"/>
        <v>0</v>
      </c>
      <c r="K123" s="162"/>
      <c r="L123" s="330"/>
      <c r="M123" s="162">
        <f t="shared" si="12"/>
        <v>0</v>
      </c>
      <c r="N123" s="330"/>
      <c r="O123" s="162">
        <f t="shared" si="13"/>
        <v>0</v>
      </c>
      <c r="P123" s="162">
        <f t="shared" si="14"/>
        <v>0</v>
      </c>
    </row>
    <row r="124" spans="2:16">
      <c r="B124" s="9" t="str">
        <f t="shared" si="18"/>
        <v/>
      </c>
      <c r="C124" s="157">
        <f>IF(D93="","-",+C123+1)</f>
        <v>2040</v>
      </c>
      <c r="D124" s="158">
        <f>IF(F123+SUM(E$99:E123)=D$92,F123,D$92-SUM(E$99:E123))</f>
        <v>0</v>
      </c>
      <c r="E124" s="164">
        <f t="shared" si="19"/>
        <v>0</v>
      </c>
      <c r="F124" s="163">
        <f t="shared" si="20"/>
        <v>0</v>
      </c>
      <c r="G124" s="163">
        <f t="shared" si="21"/>
        <v>0</v>
      </c>
      <c r="H124" s="328">
        <f t="shared" si="15"/>
        <v>0</v>
      </c>
      <c r="I124" s="339">
        <f t="shared" si="16"/>
        <v>0</v>
      </c>
      <c r="J124" s="162">
        <f t="shared" si="17"/>
        <v>0</v>
      </c>
      <c r="K124" s="162"/>
      <c r="L124" s="330"/>
      <c r="M124" s="162">
        <f t="shared" si="12"/>
        <v>0</v>
      </c>
      <c r="N124" s="330"/>
      <c r="O124" s="162">
        <f t="shared" si="13"/>
        <v>0</v>
      </c>
      <c r="P124" s="162">
        <f t="shared" si="14"/>
        <v>0</v>
      </c>
    </row>
    <row r="125" spans="2:16">
      <c r="B125" s="9" t="str">
        <f t="shared" si="18"/>
        <v/>
      </c>
      <c r="C125" s="157">
        <f>IF(D93="","-",+C124+1)</f>
        <v>2041</v>
      </c>
      <c r="D125" s="158">
        <f>IF(F124+SUM(E$99:E124)=D$92,F124,D$92-SUM(E$99:E124))</f>
        <v>0</v>
      </c>
      <c r="E125" s="164">
        <f t="shared" si="19"/>
        <v>0</v>
      </c>
      <c r="F125" s="163">
        <f t="shared" si="20"/>
        <v>0</v>
      </c>
      <c r="G125" s="163">
        <f t="shared" si="21"/>
        <v>0</v>
      </c>
      <c r="H125" s="328">
        <f t="shared" si="15"/>
        <v>0</v>
      </c>
      <c r="I125" s="339">
        <f t="shared" si="16"/>
        <v>0</v>
      </c>
      <c r="J125" s="162">
        <f t="shared" si="17"/>
        <v>0</v>
      </c>
      <c r="K125" s="162"/>
      <c r="L125" s="330"/>
      <c r="M125" s="162">
        <f t="shared" si="12"/>
        <v>0</v>
      </c>
      <c r="N125" s="330"/>
      <c r="O125" s="162">
        <f t="shared" si="13"/>
        <v>0</v>
      </c>
      <c r="P125" s="162">
        <f t="shared" si="14"/>
        <v>0</v>
      </c>
    </row>
    <row r="126" spans="2:16">
      <c r="B126" s="9" t="str">
        <f t="shared" si="18"/>
        <v/>
      </c>
      <c r="C126" s="157">
        <f>IF(D93="","-",+C125+1)</f>
        <v>2042</v>
      </c>
      <c r="D126" s="158">
        <f>IF(F125+SUM(E$99:E125)=D$92,F125,D$92-SUM(E$99:E125))</f>
        <v>0</v>
      </c>
      <c r="E126" s="164">
        <f t="shared" si="19"/>
        <v>0</v>
      </c>
      <c r="F126" s="163">
        <f t="shared" si="20"/>
        <v>0</v>
      </c>
      <c r="G126" s="163">
        <f t="shared" si="21"/>
        <v>0</v>
      </c>
      <c r="H126" s="328">
        <f t="shared" si="15"/>
        <v>0</v>
      </c>
      <c r="I126" s="339">
        <f t="shared" si="16"/>
        <v>0</v>
      </c>
      <c r="J126" s="162">
        <f t="shared" si="17"/>
        <v>0</v>
      </c>
      <c r="K126" s="162"/>
      <c r="L126" s="330"/>
      <c r="M126" s="162">
        <f t="shared" si="12"/>
        <v>0</v>
      </c>
      <c r="N126" s="330"/>
      <c r="O126" s="162">
        <f t="shared" si="13"/>
        <v>0</v>
      </c>
      <c r="P126" s="162">
        <f t="shared" si="14"/>
        <v>0</v>
      </c>
    </row>
    <row r="127" spans="2:16">
      <c r="B127" s="9" t="str">
        <f t="shared" si="18"/>
        <v/>
      </c>
      <c r="C127" s="157">
        <f>IF(D93="","-",+C126+1)</f>
        <v>2043</v>
      </c>
      <c r="D127" s="158">
        <f>IF(F126+SUM(E$99:E126)=D$92,F126,D$92-SUM(E$99:E126))</f>
        <v>0</v>
      </c>
      <c r="E127" s="164">
        <f t="shared" si="19"/>
        <v>0</v>
      </c>
      <c r="F127" s="163">
        <f t="shared" si="20"/>
        <v>0</v>
      </c>
      <c r="G127" s="163">
        <f t="shared" si="21"/>
        <v>0</v>
      </c>
      <c r="H127" s="328">
        <f t="shared" si="15"/>
        <v>0</v>
      </c>
      <c r="I127" s="339">
        <f t="shared" si="16"/>
        <v>0</v>
      </c>
      <c r="J127" s="162">
        <f t="shared" si="17"/>
        <v>0</v>
      </c>
      <c r="K127" s="162"/>
      <c r="L127" s="330"/>
      <c r="M127" s="162">
        <f t="shared" si="12"/>
        <v>0</v>
      </c>
      <c r="N127" s="330"/>
      <c r="O127" s="162">
        <f t="shared" si="13"/>
        <v>0</v>
      </c>
      <c r="P127" s="162">
        <f t="shared" si="14"/>
        <v>0</v>
      </c>
    </row>
    <row r="128" spans="2:16">
      <c r="B128" s="9" t="str">
        <f t="shared" si="18"/>
        <v/>
      </c>
      <c r="C128" s="157">
        <f>IF(D93="","-",+C127+1)</f>
        <v>2044</v>
      </c>
      <c r="D128" s="158">
        <f>IF(F127+SUM(E$99:E127)=D$92,F127,D$92-SUM(E$99:E127))</f>
        <v>0</v>
      </c>
      <c r="E128" s="164">
        <f t="shared" si="19"/>
        <v>0</v>
      </c>
      <c r="F128" s="163">
        <f t="shared" si="20"/>
        <v>0</v>
      </c>
      <c r="G128" s="163">
        <f t="shared" si="21"/>
        <v>0</v>
      </c>
      <c r="H128" s="328">
        <f t="shared" si="15"/>
        <v>0</v>
      </c>
      <c r="I128" s="339">
        <f t="shared" si="16"/>
        <v>0</v>
      </c>
      <c r="J128" s="162">
        <f t="shared" si="17"/>
        <v>0</v>
      </c>
      <c r="K128" s="162"/>
      <c r="L128" s="330"/>
      <c r="M128" s="162">
        <f t="shared" si="12"/>
        <v>0</v>
      </c>
      <c r="N128" s="330"/>
      <c r="O128" s="162">
        <f t="shared" si="13"/>
        <v>0</v>
      </c>
      <c r="P128" s="162">
        <f t="shared" si="14"/>
        <v>0</v>
      </c>
    </row>
    <row r="129" spans="2:16">
      <c r="B129" s="9" t="str">
        <f t="shared" si="18"/>
        <v/>
      </c>
      <c r="C129" s="157">
        <f>IF(D93="","-",+C128+1)</f>
        <v>2045</v>
      </c>
      <c r="D129" s="158">
        <f>IF(F128+SUM(E$99:E128)=D$92,F128,D$92-SUM(E$99:E128))</f>
        <v>0</v>
      </c>
      <c r="E129" s="164">
        <f t="shared" si="19"/>
        <v>0</v>
      </c>
      <c r="F129" s="163">
        <f t="shared" si="20"/>
        <v>0</v>
      </c>
      <c r="G129" s="163">
        <f t="shared" si="21"/>
        <v>0</v>
      </c>
      <c r="H129" s="328">
        <f t="shared" si="15"/>
        <v>0</v>
      </c>
      <c r="I129" s="339">
        <f t="shared" si="16"/>
        <v>0</v>
      </c>
      <c r="J129" s="162">
        <f t="shared" si="17"/>
        <v>0</v>
      </c>
      <c r="K129" s="162"/>
      <c r="L129" s="330"/>
      <c r="M129" s="162">
        <f t="shared" si="12"/>
        <v>0</v>
      </c>
      <c r="N129" s="330"/>
      <c r="O129" s="162">
        <f t="shared" si="13"/>
        <v>0</v>
      </c>
      <c r="P129" s="162">
        <f t="shared" si="14"/>
        <v>0</v>
      </c>
    </row>
    <row r="130" spans="2:16">
      <c r="B130" s="9" t="str">
        <f t="shared" si="18"/>
        <v/>
      </c>
      <c r="C130" s="157">
        <f>IF(D93="","-",+C129+1)</f>
        <v>2046</v>
      </c>
      <c r="D130" s="158">
        <f>IF(F129+SUM(E$99:E129)=D$92,F129,D$92-SUM(E$99:E129))</f>
        <v>0</v>
      </c>
      <c r="E130" s="164">
        <f t="shared" si="19"/>
        <v>0</v>
      </c>
      <c r="F130" s="163">
        <f t="shared" si="20"/>
        <v>0</v>
      </c>
      <c r="G130" s="163">
        <f t="shared" si="21"/>
        <v>0</v>
      </c>
      <c r="H130" s="328">
        <f t="shared" si="15"/>
        <v>0</v>
      </c>
      <c r="I130" s="339">
        <f t="shared" si="16"/>
        <v>0</v>
      </c>
      <c r="J130" s="162">
        <f t="shared" si="17"/>
        <v>0</v>
      </c>
      <c r="K130" s="162"/>
      <c r="L130" s="330"/>
      <c r="M130" s="162">
        <f t="shared" si="12"/>
        <v>0</v>
      </c>
      <c r="N130" s="330"/>
      <c r="O130" s="162">
        <f t="shared" si="13"/>
        <v>0</v>
      </c>
      <c r="P130" s="162">
        <f t="shared" si="14"/>
        <v>0</v>
      </c>
    </row>
    <row r="131" spans="2:16">
      <c r="B131" s="9" t="str">
        <f t="shared" si="18"/>
        <v/>
      </c>
      <c r="C131" s="157">
        <f>IF(D93="","-",+C130+1)</f>
        <v>2047</v>
      </c>
      <c r="D131" s="158">
        <f>IF(F130+SUM(E$99:E130)=D$92,F130,D$92-SUM(E$99:E130))</f>
        <v>0</v>
      </c>
      <c r="E131" s="164">
        <f t="shared" si="19"/>
        <v>0</v>
      </c>
      <c r="F131" s="163">
        <f t="shared" si="20"/>
        <v>0</v>
      </c>
      <c r="G131" s="163">
        <f t="shared" si="21"/>
        <v>0</v>
      </c>
      <c r="H131" s="328">
        <f t="shared" si="15"/>
        <v>0</v>
      </c>
      <c r="I131" s="339">
        <f t="shared" si="16"/>
        <v>0</v>
      </c>
      <c r="J131" s="162">
        <f t="shared" ref="J131:J154" si="22">+I541-H541</f>
        <v>0</v>
      </c>
      <c r="K131" s="162"/>
      <c r="L131" s="330"/>
      <c r="M131" s="162">
        <f t="shared" ref="M131:M154" si="23">IF(L541&lt;&gt;0,+H541-L541,0)</f>
        <v>0</v>
      </c>
      <c r="N131" s="330"/>
      <c r="O131" s="162">
        <f t="shared" ref="O131:O154" si="24">IF(N541&lt;&gt;0,+I541-N541,0)</f>
        <v>0</v>
      </c>
      <c r="P131" s="162">
        <f t="shared" ref="P131:P154" si="25">+O541-M541</f>
        <v>0</v>
      </c>
    </row>
    <row r="132" spans="2:16">
      <c r="B132" s="9" t="str">
        <f t="shared" si="18"/>
        <v/>
      </c>
      <c r="C132" s="157">
        <f>IF(D93="","-",+C131+1)</f>
        <v>2048</v>
      </c>
      <c r="D132" s="158">
        <f>IF(F131+SUM(E$99:E131)=D$92,F131,D$92-SUM(E$99:E131))</f>
        <v>0</v>
      </c>
      <c r="E132" s="164">
        <f t="shared" si="19"/>
        <v>0</v>
      </c>
      <c r="F132" s="163">
        <f t="shared" si="20"/>
        <v>0</v>
      </c>
      <c r="G132" s="163">
        <f t="shared" si="21"/>
        <v>0</v>
      </c>
      <c r="H132" s="328">
        <f t="shared" si="15"/>
        <v>0</v>
      </c>
      <c r="I132" s="339">
        <f t="shared" si="16"/>
        <v>0</v>
      </c>
      <c r="J132" s="162">
        <f t="shared" si="22"/>
        <v>0</v>
      </c>
      <c r="K132" s="162"/>
      <c r="L132" s="330"/>
      <c r="M132" s="162">
        <f t="shared" si="23"/>
        <v>0</v>
      </c>
      <c r="N132" s="330"/>
      <c r="O132" s="162">
        <f t="shared" si="24"/>
        <v>0</v>
      </c>
      <c r="P132" s="162">
        <f t="shared" si="25"/>
        <v>0</v>
      </c>
    </row>
    <row r="133" spans="2:16">
      <c r="B133" s="9" t="str">
        <f t="shared" si="18"/>
        <v/>
      </c>
      <c r="C133" s="157">
        <f>IF(D93="","-",+C132+1)</f>
        <v>2049</v>
      </c>
      <c r="D133" s="158">
        <f>IF(F132+SUM(E$99:E132)=D$92,F132,D$92-SUM(E$99:E132))</f>
        <v>0</v>
      </c>
      <c r="E133" s="164">
        <f t="shared" si="19"/>
        <v>0</v>
      </c>
      <c r="F133" s="163">
        <f t="shared" si="20"/>
        <v>0</v>
      </c>
      <c r="G133" s="163">
        <f t="shared" si="21"/>
        <v>0</v>
      </c>
      <c r="H133" s="328">
        <f t="shared" si="15"/>
        <v>0</v>
      </c>
      <c r="I133" s="339">
        <f t="shared" si="16"/>
        <v>0</v>
      </c>
      <c r="J133" s="162">
        <f t="shared" si="22"/>
        <v>0</v>
      </c>
      <c r="K133" s="162"/>
      <c r="L133" s="330"/>
      <c r="M133" s="162">
        <f t="shared" si="23"/>
        <v>0</v>
      </c>
      <c r="N133" s="330"/>
      <c r="O133" s="162">
        <f t="shared" si="24"/>
        <v>0</v>
      </c>
      <c r="P133" s="162">
        <f t="shared" si="25"/>
        <v>0</v>
      </c>
    </row>
    <row r="134" spans="2:16">
      <c r="B134" s="9" t="str">
        <f t="shared" si="18"/>
        <v/>
      </c>
      <c r="C134" s="157">
        <f>IF(D93="","-",+C133+1)</f>
        <v>2050</v>
      </c>
      <c r="D134" s="158">
        <f>IF(F133+SUM(E$99:E133)=D$92,F133,D$92-SUM(E$99:E133))</f>
        <v>0</v>
      </c>
      <c r="E134" s="164">
        <f t="shared" si="19"/>
        <v>0</v>
      </c>
      <c r="F134" s="163">
        <f t="shared" si="20"/>
        <v>0</v>
      </c>
      <c r="G134" s="163">
        <f t="shared" si="21"/>
        <v>0</v>
      </c>
      <c r="H134" s="328">
        <f t="shared" si="15"/>
        <v>0</v>
      </c>
      <c r="I134" s="339">
        <f t="shared" si="16"/>
        <v>0</v>
      </c>
      <c r="J134" s="162">
        <f t="shared" si="22"/>
        <v>0</v>
      </c>
      <c r="K134" s="162"/>
      <c r="L134" s="330"/>
      <c r="M134" s="162">
        <f t="shared" si="23"/>
        <v>0</v>
      </c>
      <c r="N134" s="330"/>
      <c r="O134" s="162">
        <f t="shared" si="24"/>
        <v>0</v>
      </c>
      <c r="P134" s="162">
        <f t="shared" si="25"/>
        <v>0</v>
      </c>
    </row>
    <row r="135" spans="2:16">
      <c r="B135" s="9" t="str">
        <f t="shared" si="18"/>
        <v/>
      </c>
      <c r="C135" s="157">
        <f>IF(D93="","-",+C134+1)</f>
        <v>2051</v>
      </c>
      <c r="D135" s="158">
        <f>IF(F134+SUM(E$99:E134)=D$92,F134,D$92-SUM(E$99:E134))</f>
        <v>0</v>
      </c>
      <c r="E135" s="164">
        <f t="shared" si="19"/>
        <v>0</v>
      </c>
      <c r="F135" s="163">
        <f t="shared" si="20"/>
        <v>0</v>
      </c>
      <c r="G135" s="163">
        <f t="shared" si="21"/>
        <v>0</v>
      </c>
      <c r="H135" s="328">
        <f t="shared" si="15"/>
        <v>0</v>
      </c>
      <c r="I135" s="339">
        <f t="shared" si="16"/>
        <v>0</v>
      </c>
      <c r="J135" s="162">
        <f t="shared" si="22"/>
        <v>0</v>
      </c>
      <c r="K135" s="162"/>
      <c r="L135" s="330"/>
      <c r="M135" s="162">
        <f t="shared" si="23"/>
        <v>0</v>
      </c>
      <c r="N135" s="330"/>
      <c r="O135" s="162">
        <f t="shared" si="24"/>
        <v>0</v>
      </c>
      <c r="P135" s="162">
        <f t="shared" si="25"/>
        <v>0</v>
      </c>
    </row>
    <row r="136" spans="2:16">
      <c r="B136" s="9" t="str">
        <f t="shared" si="18"/>
        <v/>
      </c>
      <c r="C136" s="157">
        <f>IF(D93="","-",+C135+1)</f>
        <v>2052</v>
      </c>
      <c r="D136" s="158">
        <f>IF(F135+SUM(E$99:E135)=D$92,F135,D$92-SUM(E$99:E135))</f>
        <v>0</v>
      </c>
      <c r="E136" s="164">
        <f t="shared" si="19"/>
        <v>0</v>
      </c>
      <c r="F136" s="163">
        <f t="shared" si="20"/>
        <v>0</v>
      </c>
      <c r="G136" s="163">
        <f t="shared" si="21"/>
        <v>0</v>
      </c>
      <c r="H136" s="328">
        <f t="shared" si="15"/>
        <v>0</v>
      </c>
      <c r="I136" s="339">
        <f t="shared" si="16"/>
        <v>0</v>
      </c>
      <c r="J136" s="162">
        <f t="shared" si="22"/>
        <v>0</v>
      </c>
      <c r="K136" s="162"/>
      <c r="L136" s="330"/>
      <c r="M136" s="162">
        <f t="shared" si="23"/>
        <v>0</v>
      </c>
      <c r="N136" s="330"/>
      <c r="O136" s="162">
        <f t="shared" si="24"/>
        <v>0</v>
      </c>
      <c r="P136" s="162">
        <f t="shared" si="25"/>
        <v>0</v>
      </c>
    </row>
    <row r="137" spans="2:16">
      <c r="B137" s="9" t="str">
        <f t="shared" si="18"/>
        <v/>
      </c>
      <c r="C137" s="157">
        <f>IF(D93="","-",+C136+1)</f>
        <v>2053</v>
      </c>
      <c r="D137" s="158">
        <f>IF(F136+SUM(E$99:E136)=D$92,F136,D$92-SUM(E$99:E136))</f>
        <v>0</v>
      </c>
      <c r="E137" s="164">
        <f t="shared" si="19"/>
        <v>0</v>
      </c>
      <c r="F137" s="163">
        <f t="shared" si="20"/>
        <v>0</v>
      </c>
      <c r="G137" s="163">
        <f t="shared" si="21"/>
        <v>0</v>
      </c>
      <c r="H137" s="328">
        <f t="shared" si="15"/>
        <v>0</v>
      </c>
      <c r="I137" s="339">
        <f t="shared" si="16"/>
        <v>0</v>
      </c>
      <c r="J137" s="162">
        <f t="shared" si="22"/>
        <v>0</v>
      </c>
      <c r="K137" s="162"/>
      <c r="L137" s="330"/>
      <c r="M137" s="162">
        <f t="shared" si="23"/>
        <v>0</v>
      </c>
      <c r="N137" s="330"/>
      <c r="O137" s="162">
        <f t="shared" si="24"/>
        <v>0</v>
      </c>
      <c r="P137" s="162">
        <f t="shared" si="25"/>
        <v>0</v>
      </c>
    </row>
    <row r="138" spans="2:16">
      <c r="B138" s="9" t="str">
        <f t="shared" si="18"/>
        <v/>
      </c>
      <c r="C138" s="157">
        <f>IF(D93="","-",+C137+1)</f>
        <v>2054</v>
      </c>
      <c r="D138" s="158">
        <f>IF(F137+SUM(E$99:E137)=D$92,F137,D$92-SUM(E$99:E137))</f>
        <v>0</v>
      </c>
      <c r="E138" s="164">
        <f t="shared" si="19"/>
        <v>0</v>
      </c>
      <c r="F138" s="163">
        <f t="shared" si="20"/>
        <v>0</v>
      </c>
      <c r="G138" s="163">
        <f t="shared" si="21"/>
        <v>0</v>
      </c>
      <c r="H138" s="328">
        <f t="shared" si="15"/>
        <v>0</v>
      </c>
      <c r="I138" s="339">
        <f t="shared" si="16"/>
        <v>0</v>
      </c>
      <c r="J138" s="162">
        <f t="shared" si="22"/>
        <v>0</v>
      </c>
      <c r="K138" s="162"/>
      <c r="L138" s="330"/>
      <c r="M138" s="162">
        <f t="shared" si="23"/>
        <v>0</v>
      </c>
      <c r="N138" s="330"/>
      <c r="O138" s="162">
        <f t="shared" si="24"/>
        <v>0</v>
      </c>
      <c r="P138" s="162">
        <f t="shared" si="25"/>
        <v>0</v>
      </c>
    </row>
    <row r="139" spans="2:16">
      <c r="B139" s="9" t="str">
        <f t="shared" si="18"/>
        <v/>
      </c>
      <c r="C139" s="157">
        <f>IF(D93="","-",+C138+1)</f>
        <v>2055</v>
      </c>
      <c r="D139" s="158">
        <f>IF(F138+SUM(E$99:E138)=D$92,F138,D$92-SUM(E$99:E138))</f>
        <v>0</v>
      </c>
      <c r="E139" s="164">
        <f t="shared" si="19"/>
        <v>0</v>
      </c>
      <c r="F139" s="163">
        <f t="shared" si="20"/>
        <v>0</v>
      </c>
      <c r="G139" s="163">
        <f t="shared" si="21"/>
        <v>0</v>
      </c>
      <c r="H139" s="328">
        <f t="shared" si="15"/>
        <v>0</v>
      </c>
      <c r="I139" s="339">
        <f t="shared" si="16"/>
        <v>0</v>
      </c>
      <c r="J139" s="162">
        <f t="shared" si="22"/>
        <v>0</v>
      </c>
      <c r="K139" s="162"/>
      <c r="L139" s="330"/>
      <c r="M139" s="162">
        <f t="shared" si="23"/>
        <v>0</v>
      </c>
      <c r="N139" s="330"/>
      <c r="O139" s="162">
        <f t="shared" si="24"/>
        <v>0</v>
      </c>
      <c r="P139" s="162">
        <f t="shared" si="25"/>
        <v>0</v>
      </c>
    </row>
    <row r="140" spans="2:16">
      <c r="B140" s="9" t="str">
        <f t="shared" si="18"/>
        <v/>
      </c>
      <c r="C140" s="157">
        <f>IF(D93="","-",+C139+1)</f>
        <v>2056</v>
      </c>
      <c r="D140" s="158">
        <f>IF(F139+SUM(E$99:E139)=D$92,F139,D$92-SUM(E$99:E139))</f>
        <v>0</v>
      </c>
      <c r="E140" s="164">
        <f t="shared" si="19"/>
        <v>0</v>
      </c>
      <c r="F140" s="163">
        <f t="shared" si="20"/>
        <v>0</v>
      </c>
      <c r="G140" s="163">
        <f t="shared" si="21"/>
        <v>0</v>
      </c>
      <c r="H140" s="328">
        <f t="shared" si="15"/>
        <v>0</v>
      </c>
      <c r="I140" s="339">
        <f t="shared" si="16"/>
        <v>0</v>
      </c>
      <c r="J140" s="162">
        <f t="shared" si="22"/>
        <v>0</v>
      </c>
      <c r="K140" s="162"/>
      <c r="L140" s="330"/>
      <c r="M140" s="162">
        <f t="shared" si="23"/>
        <v>0</v>
      </c>
      <c r="N140" s="330"/>
      <c r="O140" s="162">
        <f t="shared" si="24"/>
        <v>0</v>
      </c>
      <c r="P140" s="162">
        <f t="shared" si="25"/>
        <v>0</v>
      </c>
    </row>
    <row r="141" spans="2:16">
      <c r="B141" s="9" t="str">
        <f t="shared" si="18"/>
        <v/>
      </c>
      <c r="C141" s="157">
        <f>IF(D93="","-",+C140+1)</f>
        <v>2057</v>
      </c>
      <c r="D141" s="158">
        <f>IF(F140+SUM(E$99:E140)=D$92,F140,D$92-SUM(E$99:E140))</f>
        <v>0</v>
      </c>
      <c r="E141" s="164">
        <f t="shared" si="19"/>
        <v>0</v>
      </c>
      <c r="F141" s="163">
        <f t="shared" si="20"/>
        <v>0</v>
      </c>
      <c r="G141" s="163">
        <f t="shared" si="21"/>
        <v>0</v>
      </c>
      <c r="H141" s="328">
        <f t="shared" si="15"/>
        <v>0</v>
      </c>
      <c r="I141" s="339">
        <f t="shared" si="16"/>
        <v>0</v>
      </c>
      <c r="J141" s="162">
        <f t="shared" si="22"/>
        <v>0</v>
      </c>
      <c r="K141" s="162"/>
      <c r="L141" s="330"/>
      <c r="M141" s="162">
        <f t="shared" si="23"/>
        <v>0</v>
      </c>
      <c r="N141" s="330"/>
      <c r="O141" s="162">
        <f t="shared" si="24"/>
        <v>0</v>
      </c>
      <c r="P141" s="162">
        <f t="shared" si="25"/>
        <v>0</v>
      </c>
    </row>
    <row r="142" spans="2:16">
      <c r="B142" s="9" t="str">
        <f t="shared" si="18"/>
        <v/>
      </c>
      <c r="C142" s="157">
        <f>IF(D93="","-",+C141+1)</f>
        <v>2058</v>
      </c>
      <c r="D142" s="158">
        <f>IF(F141+SUM(E$99:E141)=D$92,F141,D$92-SUM(E$99:E141))</f>
        <v>0</v>
      </c>
      <c r="E142" s="164">
        <f t="shared" si="19"/>
        <v>0</v>
      </c>
      <c r="F142" s="163">
        <f t="shared" si="20"/>
        <v>0</v>
      </c>
      <c r="G142" s="163">
        <f t="shared" si="21"/>
        <v>0</v>
      </c>
      <c r="H142" s="328">
        <f t="shared" si="15"/>
        <v>0</v>
      </c>
      <c r="I142" s="339">
        <f t="shared" si="16"/>
        <v>0</v>
      </c>
      <c r="J142" s="162">
        <f t="shared" si="22"/>
        <v>0</v>
      </c>
      <c r="K142" s="162"/>
      <c r="L142" s="330"/>
      <c r="M142" s="162">
        <f t="shared" si="23"/>
        <v>0</v>
      </c>
      <c r="N142" s="330"/>
      <c r="O142" s="162">
        <f t="shared" si="24"/>
        <v>0</v>
      </c>
      <c r="P142" s="162">
        <f t="shared" si="25"/>
        <v>0</v>
      </c>
    </row>
    <row r="143" spans="2:16">
      <c r="B143" s="9" t="str">
        <f t="shared" si="18"/>
        <v/>
      </c>
      <c r="C143" s="157">
        <f>IF(D93="","-",+C142+1)</f>
        <v>2059</v>
      </c>
      <c r="D143" s="158">
        <f>IF(F142+SUM(E$99:E142)=D$92,F142,D$92-SUM(E$99:E142))</f>
        <v>0</v>
      </c>
      <c r="E143" s="164">
        <f t="shared" si="19"/>
        <v>0</v>
      </c>
      <c r="F143" s="163">
        <f t="shared" si="20"/>
        <v>0</v>
      </c>
      <c r="G143" s="163">
        <f t="shared" si="21"/>
        <v>0</v>
      </c>
      <c r="H143" s="328">
        <f t="shared" si="15"/>
        <v>0</v>
      </c>
      <c r="I143" s="339">
        <f t="shared" si="16"/>
        <v>0</v>
      </c>
      <c r="J143" s="162">
        <f t="shared" si="22"/>
        <v>0</v>
      </c>
      <c r="K143" s="162"/>
      <c r="L143" s="330"/>
      <c r="M143" s="162">
        <f t="shared" si="23"/>
        <v>0</v>
      </c>
      <c r="N143" s="330"/>
      <c r="O143" s="162">
        <f t="shared" si="24"/>
        <v>0</v>
      </c>
      <c r="P143" s="162">
        <f t="shared" si="25"/>
        <v>0</v>
      </c>
    </row>
    <row r="144" spans="2:16">
      <c r="B144" s="9" t="str">
        <f t="shared" si="18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9"/>
        <v>0</v>
      </c>
      <c r="F144" s="163">
        <f t="shared" si="20"/>
        <v>0</v>
      </c>
      <c r="G144" s="163">
        <f t="shared" si="21"/>
        <v>0</v>
      </c>
      <c r="H144" s="328">
        <f t="shared" si="15"/>
        <v>0</v>
      </c>
      <c r="I144" s="339">
        <f t="shared" si="16"/>
        <v>0</v>
      </c>
      <c r="J144" s="162">
        <f t="shared" si="22"/>
        <v>0</v>
      </c>
      <c r="K144" s="162"/>
      <c r="L144" s="330"/>
      <c r="M144" s="162">
        <f t="shared" si="23"/>
        <v>0</v>
      </c>
      <c r="N144" s="330"/>
      <c r="O144" s="162">
        <f t="shared" si="24"/>
        <v>0</v>
      </c>
      <c r="P144" s="162">
        <f t="shared" si="25"/>
        <v>0</v>
      </c>
    </row>
    <row r="145" spans="2:16">
      <c r="B145" s="9" t="str">
        <f t="shared" si="18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9"/>
        <v>0</v>
      </c>
      <c r="F145" s="163">
        <f t="shared" si="20"/>
        <v>0</v>
      </c>
      <c r="G145" s="163">
        <f t="shared" si="21"/>
        <v>0</v>
      </c>
      <c r="H145" s="328">
        <f t="shared" si="15"/>
        <v>0</v>
      </c>
      <c r="I145" s="339">
        <f t="shared" si="16"/>
        <v>0</v>
      </c>
      <c r="J145" s="162">
        <f t="shared" si="22"/>
        <v>0</v>
      </c>
      <c r="K145" s="162"/>
      <c r="L145" s="330"/>
      <c r="M145" s="162">
        <f t="shared" si="23"/>
        <v>0</v>
      </c>
      <c r="N145" s="330"/>
      <c r="O145" s="162">
        <f t="shared" si="24"/>
        <v>0</v>
      </c>
      <c r="P145" s="162">
        <f t="shared" si="25"/>
        <v>0</v>
      </c>
    </row>
    <row r="146" spans="2:16">
      <c r="B146" s="9" t="str">
        <f t="shared" si="18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9"/>
        <v>0</v>
      </c>
      <c r="F146" s="163">
        <f t="shared" si="20"/>
        <v>0</v>
      </c>
      <c r="G146" s="163">
        <f t="shared" si="21"/>
        <v>0</v>
      </c>
      <c r="H146" s="328">
        <f t="shared" si="15"/>
        <v>0</v>
      </c>
      <c r="I146" s="339">
        <f t="shared" si="16"/>
        <v>0</v>
      </c>
      <c r="J146" s="162">
        <f t="shared" si="22"/>
        <v>0</v>
      </c>
      <c r="K146" s="162"/>
      <c r="L146" s="330"/>
      <c r="M146" s="162">
        <f t="shared" si="23"/>
        <v>0</v>
      </c>
      <c r="N146" s="330"/>
      <c r="O146" s="162">
        <f t="shared" si="24"/>
        <v>0</v>
      </c>
      <c r="P146" s="162">
        <f t="shared" si="25"/>
        <v>0</v>
      </c>
    </row>
    <row r="147" spans="2:16">
      <c r="B147" s="9" t="str">
        <f t="shared" si="18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9"/>
        <v>0</v>
      </c>
      <c r="F147" s="163">
        <f t="shared" si="20"/>
        <v>0</v>
      </c>
      <c r="G147" s="163">
        <f t="shared" si="21"/>
        <v>0</v>
      </c>
      <c r="H147" s="328">
        <f t="shared" si="15"/>
        <v>0</v>
      </c>
      <c r="I147" s="339">
        <f t="shared" si="16"/>
        <v>0</v>
      </c>
      <c r="J147" s="162">
        <f t="shared" si="22"/>
        <v>0</v>
      </c>
      <c r="K147" s="162"/>
      <c r="L147" s="330"/>
      <c r="M147" s="162">
        <f t="shared" si="23"/>
        <v>0</v>
      </c>
      <c r="N147" s="330"/>
      <c r="O147" s="162">
        <f t="shared" si="24"/>
        <v>0</v>
      </c>
      <c r="P147" s="162">
        <f t="shared" si="25"/>
        <v>0</v>
      </c>
    </row>
    <row r="148" spans="2:16">
      <c r="B148" s="9" t="str">
        <f t="shared" si="18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9"/>
        <v>0</v>
      </c>
      <c r="F148" s="163">
        <f t="shared" si="20"/>
        <v>0</v>
      </c>
      <c r="G148" s="163">
        <f t="shared" si="21"/>
        <v>0</v>
      </c>
      <c r="H148" s="328">
        <f t="shared" si="15"/>
        <v>0</v>
      </c>
      <c r="I148" s="339">
        <f t="shared" si="16"/>
        <v>0</v>
      </c>
      <c r="J148" s="162">
        <f t="shared" si="22"/>
        <v>0</v>
      </c>
      <c r="K148" s="162"/>
      <c r="L148" s="330"/>
      <c r="M148" s="162">
        <f t="shared" si="23"/>
        <v>0</v>
      </c>
      <c r="N148" s="330"/>
      <c r="O148" s="162">
        <f t="shared" si="24"/>
        <v>0</v>
      </c>
      <c r="P148" s="162">
        <f t="shared" si="25"/>
        <v>0</v>
      </c>
    </row>
    <row r="149" spans="2:16">
      <c r="B149" s="9" t="str">
        <f t="shared" si="18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9"/>
        <v>0</v>
      </c>
      <c r="F149" s="163">
        <f t="shared" si="20"/>
        <v>0</v>
      </c>
      <c r="G149" s="163">
        <f t="shared" si="21"/>
        <v>0</v>
      </c>
      <c r="H149" s="328">
        <f t="shared" si="15"/>
        <v>0</v>
      </c>
      <c r="I149" s="339">
        <f t="shared" si="16"/>
        <v>0</v>
      </c>
      <c r="J149" s="162">
        <f t="shared" si="22"/>
        <v>0</v>
      </c>
      <c r="K149" s="162"/>
      <c r="L149" s="330"/>
      <c r="M149" s="162">
        <f t="shared" si="23"/>
        <v>0</v>
      </c>
      <c r="N149" s="330"/>
      <c r="O149" s="162">
        <f t="shared" si="24"/>
        <v>0</v>
      </c>
      <c r="P149" s="162">
        <f t="shared" si="25"/>
        <v>0</v>
      </c>
    </row>
    <row r="150" spans="2:16">
      <c r="B150" s="9" t="str">
        <f t="shared" si="18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9"/>
        <v>0</v>
      </c>
      <c r="F150" s="163">
        <f t="shared" si="20"/>
        <v>0</v>
      </c>
      <c r="G150" s="163">
        <f t="shared" si="21"/>
        <v>0</v>
      </c>
      <c r="H150" s="328">
        <f t="shared" si="15"/>
        <v>0</v>
      </c>
      <c r="I150" s="339">
        <f t="shared" si="16"/>
        <v>0</v>
      </c>
      <c r="J150" s="162">
        <f t="shared" si="22"/>
        <v>0</v>
      </c>
      <c r="K150" s="162"/>
      <c r="L150" s="330"/>
      <c r="M150" s="162">
        <f t="shared" si="23"/>
        <v>0</v>
      </c>
      <c r="N150" s="330"/>
      <c r="O150" s="162">
        <f t="shared" si="24"/>
        <v>0</v>
      </c>
      <c r="P150" s="162">
        <f t="shared" si="25"/>
        <v>0</v>
      </c>
    </row>
    <row r="151" spans="2:16">
      <c r="B151" s="9" t="str">
        <f t="shared" si="18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9"/>
        <v>0</v>
      </c>
      <c r="F151" s="163">
        <f t="shared" si="20"/>
        <v>0</v>
      </c>
      <c r="G151" s="163">
        <f t="shared" si="21"/>
        <v>0</v>
      </c>
      <c r="H151" s="328">
        <f t="shared" si="15"/>
        <v>0</v>
      </c>
      <c r="I151" s="339">
        <f t="shared" si="16"/>
        <v>0</v>
      </c>
      <c r="J151" s="162">
        <f t="shared" si="22"/>
        <v>0</v>
      </c>
      <c r="K151" s="162"/>
      <c r="L151" s="330"/>
      <c r="M151" s="162">
        <f t="shared" si="23"/>
        <v>0</v>
      </c>
      <c r="N151" s="330"/>
      <c r="O151" s="162">
        <f t="shared" si="24"/>
        <v>0</v>
      </c>
      <c r="P151" s="162">
        <f t="shared" si="25"/>
        <v>0</v>
      </c>
    </row>
    <row r="152" spans="2:16">
      <c r="B152" s="9" t="str">
        <f t="shared" si="18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9"/>
        <v>0</v>
      </c>
      <c r="F152" s="163">
        <f t="shared" si="20"/>
        <v>0</v>
      </c>
      <c r="G152" s="163">
        <f t="shared" si="21"/>
        <v>0</v>
      </c>
      <c r="H152" s="328">
        <f t="shared" si="15"/>
        <v>0</v>
      </c>
      <c r="I152" s="339">
        <f t="shared" si="16"/>
        <v>0</v>
      </c>
      <c r="J152" s="162">
        <f t="shared" si="22"/>
        <v>0</v>
      </c>
      <c r="K152" s="162"/>
      <c r="L152" s="330"/>
      <c r="M152" s="162">
        <f t="shared" si="23"/>
        <v>0</v>
      </c>
      <c r="N152" s="330"/>
      <c r="O152" s="162">
        <f t="shared" si="24"/>
        <v>0</v>
      </c>
      <c r="P152" s="162">
        <f t="shared" si="25"/>
        <v>0</v>
      </c>
    </row>
    <row r="153" spans="2:16">
      <c r="B153" s="9" t="str">
        <f t="shared" si="18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9"/>
        <v>0</v>
      </c>
      <c r="F153" s="163">
        <f t="shared" si="20"/>
        <v>0</v>
      </c>
      <c r="G153" s="163">
        <f t="shared" si="21"/>
        <v>0</v>
      </c>
      <c r="H153" s="328">
        <f t="shared" si="15"/>
        <v>0</v>
      </c>
      <c r="I153" s="339">
        <f t="shared" si="16"/>
        <v>0</v>
      </c>
      <c r="J153" s="162">
        <f t="shared" si="22"/>
        <v>0</v>
      </c>
      <c r="K153" s="162"/>
      <c r="L153" s="330"/>
      <c r="M153" s="162">
        <f t="shared" si="23"/>
        <v>0</v>
      </c>
      <c r="N153" s="330"/>
      <c r="O153" s="162">
        <f t="shared" si="24"/>
        <v>0</v>
      </c>
      <c r="P153" s="162">
        <f t="shared" si="25"/>
        <v>0</v>
      </c>
    </row>
    <row r="154" spans="2:16" ht="13.5" thickBot="1">
      <c r="B154" s="9" t="str">
        <f t="shared" si="18"/>
        <v/>
      </c>
      <c r="C154" s="168">
        <f>IF(D93="","-",+C153+1)</f>
        <v>2070</v>
      </c>
      <c r="D154" s="219">
        <f>IF(F153+SUM(E$99:E153)=D$92,F153,D$92-SUM(E$99:E153))</f>
        <v>0</v>
      </c>
      <c r="E154" s="170">
        <f t="shared" si="19"/>
        <v>0</v>
      </c>
      <c r="F154" s="169">
        <f t="shared" si="20"/>
        <v>0</v>
      </c>
      <c r="G154" s="169">
        <f t="shared" si="21"/>
        <v>0</v>
      </c>
      <c r="H154" s="340">
        <f t="shared" si="15"/>
        <v>0</v>
      </c>
      <c r="I154" s="341">
        <f t="shared" si="16"/>
        <v>0</v>
      </c>
      <c r="J154" s="173">
        <f t="shared" si="22"/>
        <v>0</v>
      </c>
      <c r="K154" s="162"/>
      <c r="L154" s="331"/>
      <c r="M154" s="173">
        <f t="shared" si="23"/>
        <v>0</v>
      </c>
      <c r="N154" s="331"/>
      <c r="O154" s="173">
        <f t="shared" si="24"/>
        <v>0</v>
      </c>
      <c r="P154" s="173">
        <f t="shared" si="25"/>
        <v>0</v>
      </c>
    </row>
    <row r="155" spans="2:16">
      <c r="C155" s="158" t="s">
        <v>77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149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view="pageBreakPreview" zoomScale="80" zoomScaleNormal="100" zoomScaleSheetLayoutView="80" workbookViewId="0"/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14062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1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 t="str">
        <f>RIGHT(N3,3)</f>
        <v/>
      </c>
      <c r="P3" s="245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118612.83535736376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118612.83535736376</v>
      </c>
      <c r="O6" s="1"/>
      <c r="P6" s="1"/>
    </row>
    <row r="7" spans="1:16" ht="13.5" thickBot="1">
      <c r="C7" s="127" t="s">
        <v>46</v>
      </c>
      <c r="D7" s="338" t="s">
        <v>209</v>
      </c>
      <c r="E7" s="95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49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f>893858</f>
        <v>893858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2009</v>
      </c>
      <c r="E11" s="141" t="s">
        <v>54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6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IF(D10=0,0,ROUND(D10/D13,0))</f>
        <v>19864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C17" s="157">
        <f>IF(D11= "","-",D11)</f>
        <v>2009</v>
      </c>
      <c r="D17" s="361">
        <v>579098</v>
      </c>
      <c r="E17" s="362">
        <v>5463</v>
      </c>
      <c r="F17" s="361">
        <v>573635</v>
      </c>
      <c r="G17" s="362">
        <v>56729</v>
      </c>
      <c r="H17" s="362">
        <v>56729</v>
      </c>
      <c r="I17" s="160">
        <f t="shared" ref="I17:I48" si="0">H17-G17</f>
        <v>0</v>
      </c>
      <c r="J17" s="160"/>
      <c r="K17" s="333">
        <v>56729</v>
      </c>
      <c r="L17" s="161">
        <f t="shared" ref="L17:L48" si="1">IF(K17&lt;&gt;0,+G17-K17,0)</f>
        <v>0</v>
      </c>
      <c r="M17" s="333">
        <v>56729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66">
        <v>888395</v>
      </c>
      <c r="E18" s="363">
        <v>15962</v>
      </c>
      <c r="F18" s="366">
        <v>872433</v>
      </c>
      <c r="G18" s="363">
        <v>141851</v>
      </c>
      <c r="H18" s="365">
        <v>141851</v>
      </c>
      <c r="I18" s="160">
        <f t="shared" si="0"/>
        <v>0</v>
      </c>
      <c r="J18" s="160"/>
      <c r="K18" s="333">
        <f t="shared" ref="K18:K23" si="4">G18</f>
        <v>141851</v>
      </c>
      <c r="L18" s="162">
        <f t="shared" si="1"/>
        <v>0</v>
      </c>
      <c r="M18" s="333">
        <f t="shared" ref="M18:M23" si="5">H18</f>
        <v>141851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2011</v>
      </c>
      <c r="D19" s="366">
        <v>872433</v>
      </c>
      <c r="E19" s="363">
        <v>17527</v>
      </c>
      <c r="F19" s="366">
        <v>854906</v>
      </c>
      <c r="G19" s="363">
        <v>151356.84230707804</v>
      </c>
      <c r="H19" s="365">
        <v>151356.84230707804</v>
      </c>
      <c r="I19" s="160">
        <f t="shared" si="0"/>
        <v>0</v>
      </c>
      <c r="J19" s="160"/>
      <c r="K19" s="333">
        <f t="shared" si="4"/>
        <v>151356.84230707804</v>
      </c>
      <c r="L19" s="162">
        <f t="shared" si="1"/>
        <v>0</v>
      </c>
      <c r="M19" s="333">
        <f t="shared" si="5"/>
        <v>151356.84230707804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384">
        <f>IF(D11="","-",+C19+1)</f>
        <v>2012</v>
      </c>
      <c r="D20" s="366">
        <v>854906</v>
      </c>
      <c r="E20" s="363">
        <v>17190</v>
      </c>
      <c r="F20" s="366">
        <v>837716</v>
      </c>
      <c r="G20" s="363">
        <v>133805.70830730975</v>
      </c>
      <c r="H20" s="365">
        <v>133805.70830730975</v>
      </c>
      <c r="I20" s="160">
        <f t="shared" si="0"/>
        <v>0</v>
      </c>
      <c r="J20" s="160"/>
      <c r="K20" s="333">
        <f t="shared" si="4"/>
        <v>133805.70830730975</v>
      </c>
      <c r="L20" s="162">
        <f t="shared" si="1"/>
        <v>0</v>
      </c>
      <c r="M20" s="333">
        <f t="shared" si="5"/>
        <v>133805.70830730975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384">
        <f>IF(D12="","-",+C20+1)</f>
        <v>2013</v>
      </c>
      <c r="D21" s="366">
        <v>837716</v>
      </c>
      <c r="E21" s="363">
        <v>17190</v>
      </c>
      <c r="F21" s="366">
        <v>820526</v>
      </c>
      <c r="G21" s="363">
        <v>134366.65985215519</v>
      </c>
      <c r="H21" s="365">
        <v>134366.65985215519</v>
      </c>
      <c r="I21" s="160">
        <v>0</v>
      </c>
      <c r="J21" s="160"/>
      <c r="K21" s="333">
        <f t="shared" si="4"/>
        <v>134366.65985215519</v>
      </c>
      <c r="L21" s="162">
        <f t="shared" ref="L21:L26" si="7">IF(K21&lt;&gt;0,+G21-K21,0)</f>
        <v>0</v>
      </c>
      <c r="M21" s="333">
        <f t="shared" si="5"/>
        <v>134366.65985215519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66">
        <v>820526</v>
      </c>
      <c r="E22" s="363">
        <v>17190</v>
      </c>
      <c r="F22" s="366">
        <v>803336</v>
      </c>
      <c r="G22" s="363">
        <v>127776.24380165605</v>
      </c>
      <c r="H22" s="365">
        <v>127776.24380165605</v>
      </c>
      <c r="I22" s="160">
        <v>0</v>
      </c>
      <c r="J22" s="160"/>
      <c r="K22" s="333">
        <f t="shared" si="4"/>
        <v>127776.24380165605</v>
      </c>
      <c r="L22" s="162">
        <f t="shared" si="7"/>
        <v>0</v>
      </c>
      <c r="M22" s="333">
        <f t="shared" si="5"/>
        <v>127776.24380165605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66">
        <v>803336</v>
      </c>
      <c r="E23" s="363">
        <v>17190</v>
      </c>
      <c r="F23" s="366">
        <v>786146</v>
      </c>
      <c r="G23" s="363">
        <v>125577.25148028173</v>
      </c>
      <c r="H23" s="365">
        <v>125577.25148028173</v>
      </c>
      <c r="I23" s="160">
        <v>0</v>
      </c>
      <c r="J23" s="160"/>
      <c r="K23" s="333">
        <f t="shared" si="4"/>
        <v>125577.25148028173</v>
      </c>
      <c r="L23" s="162">
        <f t="shared" si="7"/>
        <v>0</v>
      </c>
      <c r="M23" s="333">
        <f t="shared" si="5"/>
        <v>125577.25148028173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66">
        <v>786146</v>
      </c>
      <c r="E24" s="363">
        <v>17190</v>
      </c>
      <c r="F24" s="366">
        <v>768956</v>
      </c>
      <c r="G24" s="363">
        <v>118045.98754263212</v>
      </c>
      <c r="H24" s="365">
        <v>118045.98754263212</v>
      </c>
      <c r="I24" s="160">
        <f t="shared" si="0"/>
        <v>0</v>
      </c>
      <c r="J24" s="160"/>
      <c r="K24" s="333">
        <f>G24</f>
        <v>118045.98754263212</v>
      </c>
      <c r="L24" s="162">
        <f t="shared" si="7"/>
        <v>0</v>
      </c>
      <c r="M24" s="333">
        <f>H24</f>
        <v>118045.98754263212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66">
        <v>768956</v>
      </c>
      <c r="E25" s="363">
        <v>19432</v>
      </c>
      <c r="F25" s="366">
        <v>749524</v>
      </c>
      <c r="G25" s="363">
        <v>114816.91495996526</v>
      </c>
      <c r="H25" s="365">
        <v>114816.91495996526</v>
      </c>
      <c r="I25" s="160">
        <f t="shared" si="0"/>
        <v>0</v>
      </c>
      <c r="J25" s="160"/>
      <c r="K25" s="333">
        <f>G25</f>
        <v>114816.91495996526</v>
      </c>
      <c r="L25" s="162">
        <f t="shared" si="7"/>
        <v>0</v>
      </c>
      <c r="M25" s="333">
        <f>H25</f>
        <v>114816.91495996526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66">
        <v>749524</v>
      </c>
      <c r="E26" s="363">
        <v>19864</v>
      </c>
      <c r="F26" s="366">
        <v>729660</v>
      </c>
      <c r="G26" s="363">
        <v>118612.83535736376</v>
      </c>
      <c r="H26" s="365">
        <v>118612.83535736376</v>
      </c>
      <c r="I26" s="160">
        <f t="shared" si="0"/>
        <v>0</v>
      </c>
      <c r="J26" s="160"/>
      <c r="K26" s="333">
        <f>G26</f>
        <v>118612.83535736376</v>
      </c>
      <c r="L26" s="162">
        <f t="shared" si="7"/>
        <v>0</v>
      </c>
      <c r="M26" s="333">
        <f>H26</f>
        <v>118612.83535736376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6">
        <f>IF(F26+SUM(E$17:E26)=D$10,F26,D$10-SUM(E$17:E26))</f>
        <v>729660</v>
      </c>
      <c r="E27" s="164">
        <f>IF(+I14&lt;F26,I14,D27)</f>
        <v>19864</v>
      </c>
      <c r="F27" s="163">
        <f t="shared" ref="F27:F48" si="10">+D27-E27</f>
        <v>709796</v>
      </c>
      <c r="G27" s="165">
        <f t="shared" ref="G27:G72" si="11">+I$12*F27+E27</f>
        <v>115924.53277048949</v>
      </c>
      <c r="H27" s="147">
        <f t="shared" ref="H27:H72" si="12">+I$13*F27+E27</f>
        <v>115924.53277048949</v>
      </c>
      <c r="I27" s="160">
        <f t="shared" si="0"/>
        <v>0</v>
      </c>
      <c r="J27" s="160"/>
      <c r="K27" s="330"/>
      <c r="L27" s="162">
        <f t="shared" si="1"/>
        <v>0</v>
      </c>
      <c r="M27" s="330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6">
        <f>IF(F27+SUM(E$17:E27)=D$10,F27,D$10-SUM(E$17:E27))</f>
        <v>709796</v>
      </c>
      <c r="E28" s="164">
        <f>IF(+I14&lt;F27,I14,D28)</f>
        <v>19864</v>
      </c>
      <c r="F28" s="163">
        <f t="shared" si="10"/>
        <v>689932</v>
      </c>
      <c r="G28" s="165">
        <f t="shared" si="11"/>
        <v>113236.23018361523</v>
      </c>
      <c r="H28" s="147">
        <f t="shared" si="12"/>
        <v>113236.23018361523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6">
        <f>IF(F28+SUM(E$17:E28)=D$10,F28,D$10-SUM(E$17:E28))</f>
        <v>689932</v>
      </c>
      <c r="E29" s="164">
        <f>IF(+I14&lt;F28,I14,D29)</f>
        <v>19864</v>
      </c>
      <c r="F29" s="163">
        <f t="shared" si="10"/>
        <v>670068</v>
      </c>
      <c r="G29" s="165">
        <f t="shared" si="11"/>
        <v>110547.92759674096</v>
      </c>
      <c r="H29" s="147">
        <f t="shared" si="12"/>
        <v>110547.92759674096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6">
        <f>IF(F29+SUM(E$17:E29)=D$10,F29,D$10-SUM(E$17:E29))</f>
        <v>670068</v>
      </c>
      <c r="E30" s="164">
        <f>IF(+I14&lt;F29,I14,D30)</f>
        <v>19864</v>
      </c>
      <c r="F30" s="163">
        <f t="shared" si="10"/>
        <v>650204</v>
      </c>
      <c r="G30" s="165">
        <f t="shared" si="11"/>
        <v>107859.62500986671</v>
      </c>
      <c r="H30" s="147">
        <f t="shared" si="12"/>
        <v>107859.62500986671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6">
        <f>IF(F30+SUM(E$17:E30)=D$10,F30,D$10-SUM(E$17:E30))</f>
        <v>650204</v>
      </c>
      <c r="E31" s="164">
        <f>IF(+I14&lt;F30,I14,D31)</f>
        <v>19864</v>
      </c>
      <c r="F31" s="163">
        <f t="shared" si="10"/>
        <v>630340</v>
      </c>
      <c r="G31" s="165">
        <f t="shared" si="11"/>
        <v>105171.32242299245</v>
      </c>
      <c r="H31" s="147">
        <f t="shared" si="12"/>
        <v>105171.32242299245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6">
        <f>IF(F31+SUM(E$17:E31)=D$10,F31,D$10-SUM(E$17:E31))</f>
        <v>630340</v>
      </c>
      <c r="E32" s="164">
        <f>IF(+I14&lt;F31,I14,D32)</f>
        <v>19864</v>
      </c>
      <c r="F32" s="163">
        <f t="shared" si="10"/>
        <v>610476</v>
      </c>
      <c r="G32" s="165">
        <f t="shared" si="11"/>
        <v>102483.01983611818</v>
      </c>
      <c r="H32" s="147">
        <f t="shared" si="12"/>
        <v>102483.01983611818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6">
        <f>IF(F32+SUM(E$17:E32)=D$10,F32,D$10-SUM(E$17:E32))</f>
        <v>610476</v>
      </c>
      <c r="E33" s="164">
        <f>IF(+I14&lt;F32,I14,D33)</f>
        <v>19864</v>
      </c>
      <c r="F33" s="163">
        <f t="shared" si="10"/>
        <v>590612</v>
      </c>
      <c r="G33" s="165">
        <f t="shared" si="11"/>
        <v>99794.717249243928</v>
      </c>
      <c r="H33" s="147">
        <f t="shared" si="12"/>
        <v>99794.717249243928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6">
        <f>IF(F33+SUM(E$17:E33)=D$10,F33,D$10-SUM(E$17:E33))</f>
        <v>590612</v>
      </c>
      <c r="E34" s="164">
        <f>IF(+I14&lt;F33,I14,D34)</f>
        <v>19864</v>
      </c>
      <c r="F34" s="163">
        <f t="shared" si="10"/>
        <v>570748</v>
      </c>
      <c r="G34" s="165">
        <f t="shared" si="11"/>
        <v>97106.414662369658</v>
      </c>
      <c r="H34" s="147">
        <f t="shared" si="12"/>
        <v>97106.414662369658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6">
        <f>IF(F34+SUM(E$17:E34)=D$10,F34,D$10-SUM(E$17:E34))</f>
        <v>570748</v>
      </c>
      <c r="E35" s="164">
        <f>IF(+I14&lt;F34,I14,D35)</f>
        <v>19864</v>
      </c>
      <c r="F35" s="163">
        <f t="shared" si="10"/>
        <v>550884</v>
      </c>
      <c r="G35" s="165">
        <f t="shared" si="11"/>
        <v>94418.112075495403</v>
      </c>
      <c r="H35" s="147">
        <f t="shared" si="12"/>
        <v>94418.112075495403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6">
        <f>IF(F35+SUM(E$17:E35)=D$10,F35,D$10-SUM(E$17:E35))</f>
        <v>550884</v>
      </c>
      <c r="E36" s="164">
        <f>IF(+I14&lt;F35,I14,D36)</f>
        <v>19864</v>
      </c>
      <c r="F36" s="163">
        <f t="shared" si="10"/>
        <v>531020</v>
      </c>
      <c r="G36" s="165">
        <f t="shared" si="11"/>
        <v>91729.809488621133</v>
      </c>
      <c r="H36" s="147">
        <f t="shared" si="12"/>
        <v>91729.809488621133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6">
        <f>IF(F36+SUM(E$17:E36)=D$10,F36,D$10-SUM(E$17:E36))</f>
        <v>531020</v>
      </c>
      <c r="E37" s="164">
        <f>IF(+I14&lt;F36,I14,D37)</f>
        <v>19864</v>
      </c>
      <c r="F37" s="163">
        <f t="shared" si="10"/>
        <v>511156</v>
      </c>
      <c r="G37" s="165">
        <f t="shared" si="11"/>
        <v>89041.506901746878</v>
      </c>
      <c r="H37" s="147">
        <f t="shared" si="12"/>
        <v>89041.506901746878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6">
        <f>IF(F37+SUM(E$17:E37)=D$10,F37,D$10-SUM(E$17:E37))</f>
        <v>511156</v>
      </c>
      <c r="E38" s="164">
        <f>IF(+I14&lt;F37,I14,D38)</f>
        <v>19864</v>
      </c>
      <c r="F38" s="163">
        <f t="shared" si="10"/>
        <v>491292</v>
      </c>
      <c r="G38" s="165">
        <f t="shared" si="11"/>
        <v>86353.204314872622</v>
      </c>
      <c r="H38" s="147">
        <f t="shared" si="12"/>
        <v>86353.204314872622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6">
        <f>IF(F38+SUM(E$17:E38)=D$10,F38,D$10-SUM(E$17:E38))</f>
        <v>491292</v>
      </c>
      <c r="E39" s="164">
        <f>IF(+I14&lt;F38,I14,D39)</f>
        <v>19864</v>
      </c>
      <c r="F39" s="163">
        <f t="shared" si="10"/>
        <v>471428</v>
      </c>
      <c r="G39" s="165">
        <f t="shared" si="11"/>
        <v>83664.901727998353</v>
      </c>
      <c r="H39" s="147">
        <f t="shared" si="12"/>
        <v>83664.901727998353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6">
        <f>IF(F39+SUM(E$17:E39)=D$10,F39,D$10-SUM(E$17:E39))</f>
        <v>471428</v>
      </c>
      <c r="E40" s="164">
        <f>IF(+I14&lt;F39,I14,D40)</f>
        <v>19864</v>
      </c>
      <c r="F40" s="163">
        <f t="shared" si="10"/>
        <v>451564</v>
      </c>
      <c r="G40" s="165">
        <f t="shared" si="11"/>
        <v>80976.599141124083</v>
      </c>
      <c r="H40" s="147">
        <f t="shared" si="12"/>
        <v>80976.599141124083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6">
        <f>IF(F40+SUM(E$17:E40)=D$10,F40,D$10-SUM(E$17:E40))</f>
        <v>451564</v>
      </c>
      <c r="E41" s="164">
        <f>IF(+I14&lt;F40,I14,D41)</f>
        <v>19864</v>
      </c>
      <c r="F41" s="163">
        <f t="shared" si="10"/>
        <v>431700</v>
      </c>
      <c r="G41" s="165">
        <f t="shared" si="11"/>
        <v>78288.296554249828</v>
      </c>
      <c r="H41" s="147">
        <f t="shared" si="12"/>
        <v>78288.296554249828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6">
        <f>IF(F41+SUM(E$17:E41)=D$10,F41,D$10-SUM(E$17:E41))</f>
        <v>431700</v>
      </c>
      <c r="E42" s="164">
        <f>IF(+I14&lt;F41,I14,D42)</f>
        <v>19864</v>
      </c>
      <c r="F42" s="163">
        <f t="shared" si="10"/>
        <v>411836</v>
      </c>
      <c r="G42" s="165">
        <f t="shared" si="11"/>
        <v>75599.993967375573</v>
      </c>
      <c r="H42" s="147">
        <f t="shared" si="12"/>
        <v>75599.993967375573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6">
        <f>IF(F42+SUM(E$17:E42)=D$10,F42,D$10-SUM(E$17:E42))</f>
        <v>411836</v>
      </c>
      <c r="E43" s="164">
        <f>IF(+I14&lt;F42,I14,D43)</f>
        <v>19864</v>
      </c>
      <c r="F43" s="163">
        <f t="shared" si="10"/>
        <v>391972</v>
      </c>
      <c r="G43" s="165">
        <f t="shared" si="11"/>
        <v>72911.691380501317</v>
      </c>
      <c r="H43" s="147">
        <f t="shared" si="12"/>
        <v>72911.691380501317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6">
        <f>IF(F43+SUM(E$17:E43)=D$10,F43,D$10-SUM(E$17:E43))</f>
        <v>391972</v>
      </c>
      <c r="E44" s="164">
        <f>IF(+I14&lt;F43,I14,D44)</f>
        <v>19864</v>
      </c>
      <c r="F44" s="163">
        <f t="shared" si="10"/>
        <v>372108</v>
      </c>
      <c r="G44" s="165">
        <f t="shared" si="11"/>
        <v>70223.388793627048</v>
      </c>
      <c r="H44" s="147">
        <f t="shared" si="12"/>
        <v>70223.388793627048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6">
        <f>IF(F44+SUM(E$17:E44)=D$10,F44,D$10-SUM(E$17:E44))</f>
        <v>372108</v>
      </c>
      <c r="E45" s="164">
        <f>IF(+I14&lt;F44,I14,D45)</f>
        <v>19864</v>
      </c>
      <c r="F45" s="163">
        <f t="shared" si="10"/>
        <v>352244</v>
      </c>
      <c r="G45" s="165">
        <f t="shared" si="11"/>
        <v>67535.086206752778</v>
      </c>
      <c r="H45" s="147">
        <f t="shared" si="12"/>
        <v>67535.086206752778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6">
        <f>IF(F45+SUM(E$17:E45)=D$10,F45,D$10-SUM(E$17:E45))</f>
        <v>352244</v>
      </c>
      <c r="E46" s="164">
        <f>IF(+I14&lt;F45,I14,D46)</f>
        <v>19864</v>
      </c>
      <c r="F46" s="163">
        <f t="shared" si="10"/>
        <v>332380</v>
      </c>
      <c r="G46" s="165">
        <f t="shared" si="11"/>
        <v>64846.783619878523</v>
      </c>
      <c r="H46" s="147">
        <f t="shared" si="12"/>
        <v>64846.783619878523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6">
        <f>IF(F46+SUM(E$17:E46)=D$10,F46,D$10-SUM(E$17:E46))</f>
        <v>332380</v>
      </c>
      <c r="E47" s="164">
        <f>IF(+I14&lt;F46,I14,D47)</f>
        <v>19864</v>
      </c>
      <c r="F47" s="163">
        <f t="shared" si="10"/>
        <v>312516</v>
      </c>
      <c r="G47" s="165">
        <f t="shared" si="11"/>
        <v>62158.48103300426</v>
      </c>
      <c r="H47" s="147">
        <f t="shared" si="12"/>
        <v>62158.48103300426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6">
        <f>IF(F47+SUM(E$17:E47)=D$10,F47,D$10-SUM(E$17:E47))</f>
        <v>312516</v>
      </c>
      <c r="E48" s="164">
        <f>IF(+I14&lt;F47,I14,D48)</f>
        <v>19864</v>
      </c>
      <c r="F48" s="163">
        <f t="shared" si="10"/>
        <v>292652</v>
      </c>
      <c r="G48" s="165">
        <f t="shared" si="11"/>
        <v>59470.178446130005</v>
      </c>
      <c r="H48" s="147">
        <f t="shared" si="12"/>
        <v>59470.178446130005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6">
        <f>IF(F48+SUM(E$17:E48)=D$10,F48,D$10-SUM(E$17:E48))</f>
        <v>292652</v>
      </c>
      <c r="E49" s="164">
        <f>IF(+I14&lt;F48,I14,D49)</f>
        <v>19864</v>
      </c>
      <c r="F49" s="163">
        <f t="shared" ref="F49:F72" si="13">+D49-E49</f>
        <v>272788</v>
      </c>
      <c r="G49" s="165">
        <f t="shared" si="11"/>
        <v>56781.875859255742</v>
      </c>
      <c r="H49" s="147">
        <f t="shared" si="12"/>
        <v>56781.875859255742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6">
        <f>IF(F49+SUM(E$17:E49)=D$10,F49,D$10-SUM(E$17:E49))</f>
        <v>272788</v>
      </c>
      <c r="E50" s="164">
        <f>IF(+I14&lt;F49,I14,D50)</f>
        <v>19864</v>
      </c>
      <c r="F50" s="163">
        <f t="shared" si="13"/>
        <v>252924</v>
      </c>
      <c r="G50" s="165">
        <f t="shared" si="11"/>
        <v>54093.57327238148</v>
      </c>
      <c r="H50" s="147">
        <f t="shared" si="12"/>
        <v>54093.57327238148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6">
        <f>IF(F50+SUM(E$17:E50)=D$10,F50,D$10-SUM(E$17:E50))</f>
        <v>252924</v>
      </c>
      <c r="E51" s="164">
        <f>IF(+I14&lt;F50,I14,D51)</f>
        <v>19864</v>
      </c>
      <c r="F51" s="163">
        <f t="shared" si="13"/>
        <v>233060</v>
      </c>
      <c r="G51" s="165">
        <f t="shared" si="11"/>
        <v>51405.270685507217</v>
      </c>
      <c r="H51" s="147">
        <f t="shared" si="12"/>
        <v>51405.270685507217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6">
        <f>IF(F51+SUM(E$17:E51)=D$10,F51,D$10-SUM(E$17:E51))</f>
        <v>233060</v>
      </c>
      <c r="E52" s="164">
        <f>IF(+I14&lt;F51,I14,D52)</f>
        <v>19864</v>
      </c>
      <c r="F52" s="163">
        <f t="shared" si="13"/>
        <v>213196</v>
      </c>
      <c r="G52" s="165">
        <f t="shared" si="11"/>
        <v>48716.968098632955</v>
      </c>
      <c r="H52" s="147">
        <f t="shared" si="12"/>
        <v>48716.968098632955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6">
        <f>IF(F52+SUM(E$17:E52)=D$10,F52,D$10-SUM(E$17:E52))</f>
        <v>213196</v>
      </c>
      <c r="E53" s="164">
        <f>IF(+I14&lt;F52,I14,D53)</f>
        <v>19864</v>
      </c>
      <c r="F53" s="163">
        <f t="shared" si="13"/>
        <v>193332</v>
      </c>
      <c r="G53" s="165">
        <f t="shared" si="11"/>
        <v>46028.665511758692</v>
      </c>
      <c r="H53" s="147">
        <f t="shared" si="12"/>
        <v>46028.665511758692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6">
        <f>IF(F53+SUM(E$17:E53)=D$10,F53,D$10-SUM(E$17:E53))</f>
        <v>193332</v>
      </c>
      <c r="E54" s="164">
        <f>IF(+I14&lt;F53,I14,D54)</f>
        <v>19864</v>
      </c>
      <c r="F54" s="163">
        <f t="shared" si="13"/>
        <v>173468</v>
      </c>
      <c r="G54" s="165">
        <f t="shared" si="11"/>
        <v>43340.362924884437</v>
      </c>
      <c r="H54" s="147">
        <f t="shared" si="12"/>
        <v>43340.362924884437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6">
        <f>IF(F54+SUM(E$17:E54)=D$10,F54,D$10-SUM(E$17:E54))</f>
        <v>173468</v>
      </c>
      <c r="E55" s="164">
        <f>IF(+I14&lt;F54,I14,D55)</f>
        <v>19864</v>
      </c>
      <c r="F55" s="163">
        <f t="shared" si="13"/>
        <v>153604</v>
      </c>
      <c r="G55" s="165">
        <f t="shared" si="11"/>
        <v>40652.060338010167</v>
      </c>
      <c r="H55" s="147">
        <f t="shared" si="12"/>
        <v>40652.060338010167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6">
        <f>IF(F55+SUM(E$17:E55)=D$10,F55,D$10-SUM(E$17:E55))</f>
        <v>153604</v>
      </c>
      <c r="E56" s="164">
        <f>IF(+I14&lt;F55,I14,D56)</f>
        <v>19864</v>
      </c>
      <c r="F56" s="163">
        <f t="shared" si="13"/>
        <v>133740</v>
      </c>
      <c r="G56" s="165">
        <f t="shared" si="11"/>
        <v>37963.757751135912</v>
      </c>
      <c r="H56" s="147">
        <f t="shared" si="12"/>
        <v>37963.757751135912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6">
        <f>IF(F56+SUM(E$17:E56)=D$10,F56,D$10-SUM(E$17:E56))</f>
        <v>133740</v>
      </c>
      <c r="E57" s="164">
        <f>IF(+I14&lt;F56,I14,D57)</f>
        <v>19864</v>
      </c>
      <c r="F57" s="163">
        <f t="shared" si="13"/>
        <v>113876</v>
      </c>
      <c r="G57" s="165">
        <f t="shared" si="11"/>
        <v>35275.45516426165</v>
      </c>
      <c r="H57" s="147">
        <f t="shared" si="12"/>
        <v>35275.45516426165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6">
        <f>IF(F57+SUM(E$17:E57)=D$10,F57,D$10-SUM(E$17:E57))</f>
        <v>113876</v>
      </c>
      <c r="E58" s="164">
        <f>IF(+I14&lt;F57,I14,D58)</f>
        <v>19864</v>
      </c>
      <c r="F58" s="163">
        <f t="shared" si="13"/>
        <v>94012</v>
      </c>
      <c r="G58" s="165">
        <f t="shared" si="11"/>
        <v>32587.152577387387</v>
      </c>
      <c r="H58" s="147">
        <f t="shared" si="12"/>
        <v>32587.152577387387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6">
        <f>IF(F58+SUM(E$17:E58)=D$10,F58,D$10-SUM(E$17:E58))</f>
        <v>94012</v>
      </c>
      <c r="E59" s="164">
        <f>IF(+I14&lt;F58,I14,D59)</f>
        <v>19864</v>
      </c>
      <c r="F59" s="163">
        <f t="shared" si="13"/>
        <v>74148</v>
      </c>
      <c r="G59" s="165">
        <f t="shared" si="11"/>
        <v>29898.849990513125</v>
      </c>
      <c r="H59" s="147">
        <f t="shared" si="12"/>
        <v>29898.849990513125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6">
        <f>IF(F59+SUM(E$17:E59)=D$10,F59,D$10-SUM(E$17:E59))</f>
        <v>74148</v>
      </c>
      <c r="E60" s="164">
        <f>IF(+I14&lt;F59,I14,D60)</f>
        <v>19864</v>
      </c>
      <c r="F60" s="163">
        <f t="shared" si="13"/>
        <v>54284</v>
      </c>
      <c r="G60" s="165">
        <f t="shared" si="11"/>
        <v>27210.547403638866</v>
      </c>
      <c r="H60" s="147">
        <f t="shared" si="12"/>
        <v>27210.547403638866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6">
        <f>IF(F60+SUM(E$17:E60)=D$10,F60,D$10-SUM(E$17:E60))</f>
        <v>54284</v>
      </c>
      <c r="E61" s="164">
        <f>IF(+I14&lt;F60,I14,D61)</f>
        <v>19864</v>
      </c>
      <c r="F61" s="163">
        <f t="shared" si="13"/>
        <v>34420</v>
      </c>
      <c r="G61" s="167">
        <f t="shared" si="11"/>
        <v>24522.244816764603</v>
      </c>
      <c r="H61" s="147">
        <f t="shared" si="12"/>
        <v>24522.244816764603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6">
        <f>IF(F61+SUM(E$17:E61)=D$10,F61,D$10-SUM(E$17:E61))</f>
        <v>34420</v>
      </c>
      <c r="E62" s="164">
        <f>IF(+I14&lt;F61,I14,D62)</f>
        <v>19864</v>
      </c>
      <c r="F62" s="163">
        <f t="shared" si="13"/>
        <v>14556</v>
      </c>
      <c r="G62" s="167">
        <f t="shared" si="11"/>
        <v>21833.942229890341</v>
      </c>
      <c r="H62" s="147">
        <f t="shared" si="12"/>
        <v>21833.942229890341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6">
        <f>IF(F62+SUM(E$17:E62)=D$10,F62,D$10-SUM(E$17:E62))</f>
        <v>14556</v>
      </c>
      <c r="E63" s="164">
        <f>IF(+I14&lt;F62,I14,D63)</f>
        <v>14556</v>
      </c>
      <c r="F63" s="163">
        <f t="shared" si="13"/>
        <v>0</v>
      </c>
      <c r="G63" s="167">
        <f t="shared" si="11"/>
        <v>14556</v>
      </c>
      <c r="H63" s="147">
        <f t="shared" si="12"/>
        <v>14556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6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7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1:16">
      <c r="B65" s="9" t="str">
        <f t="shared" si="6"/>
        <v/>
      </c>
      <c r="C65" s="157">
        <f>IF(D11="","-",+C64+1)</f>
        <v>2057</v>
      </c>
      <c r="D65" s="166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1:16">
      <c r="B66" s="9" t="str">
        <f t="shared" si="6"/>
        <v/>
      </c>
      <c r="C66" s="157">
        <f>IF(D11="","-",+C65+1)</f>
        <v>2058</v>
      </c>
      <c r="D66" s="166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1:16">
      <c r="B67" s="9" t="str">
        <f t="shared" si="6"/>
        <v/>
      </c>
      <c r="C67" s="157">
        <f>IF(D11="","-",+C66+1)</f>
        <v>2059</v>
      </c>
      <c r="D67" s="166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1:16">
      <c r="B68" s="9" t="str">
        <f t="shared" si="6"/>
        <v/>
      </c>
      <c r="C68" s="157">
        <f>IF(D11="","-",+C67+1)</f>
        <v>2060</v>
      </c>
      <c r="D68" s="166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1:16">
      <c r="B69" s="9" t="str">
        <f t="shared" si="6"/>
        <v/>
      </c>
      <c r="C69" s="157">
        <f>IF(D11="","-",+C68+1)</f>
        <v>2061</v>
      </c>
      <c r="D69" s="166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1:16">
      <c r="B70" s="9" t="str">
        <f t="shared" si="6"/>
        <v/>
      </c>
      <c r="C70" s="157">
        <f>IF(D11="","-",+C69+1)</f>
        <v>2062</v>
      </c>
      <c r="D70" s="166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1:16">
      <c r="B71" s="9" t="str">
        <f t="shared" si="6"/>
        <v/>
      </c>
      <c r="C71" s="157">
        <f>IF(D11="","-",+C70+1)</f>
        <v>2063</v>
      </c>
      <c r="D71" s="166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1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1"/>
        <v>0</v>
      </c>
      <c r="H72" s="130">
        <f t="shared" si="12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1:16">
      <c r="C73" s="158" t="s">
        <v>77</v>
      </c>
      <c r="D73" s="115"/>
      <c r="E73" s="115">
        <f>SUM(E17:E72)</f>
        <v>893858</v>
      </c>
      <c r="F73" s="115"/>
      <c r="G73" s="115">
        <f>SUM(G17:G72)</f>
        <v>3717146.9936152785</v>
      </c>
      <c r="H73" s="115">
        <f>SUM(H17:H72)</f>
        <v>3717146.9936152785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1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1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1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1:16" ht="18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114"/>
      <c r="P77" s="4"/>
    </row>
    <row r="78" spans="1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1:16" ht="15">
      <c r="A79" s="247"/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</row>
    <row r="80" spans="1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48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1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118612.83535736376</v>
      </c>
      <c r="N87" s="202">
        <f>IF(J92&lt;D11,0,VLOOKUP(J92,C17:O72,11))</f>
        <v>118612.83535736376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96106.810302403712</v>
      </c>
      <c r="N88" s="204">
        <f>IF(J92&lt;D11,0,VLOOKUP(J92,C99:P154,7))</f>
        <v>96106.810302403712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Riverside-Glenpool (81-523) Reconductor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-22506.025054960046</v>
      </c>
      <c r="N89" s="207">
        <f>+N88-N87</f>
        <v>-22506.025054960046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TP2006087</v>
      </c>
      <c r="E91" s="210"/>
      <c r="F91" s="210"/>
      <c r="G91" s="210"/>
      <c r="H91" s="210"/>
      <c r="I91" s="210"/>
      <c r="J91" s="244"/>
      <c r="K91" s="211"/>
      <c r="P91" s="137"/>
    </row>
    <row r="92" spans="1:16">
      <c r="C92" s="371" t="s">
        <v>226</v>
      </c>
      <c r="D92" s="138">
        <v>893858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2009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6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20787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2009</v>
      </c>
      <c r="D99" s="361">
        <v>0</v>
      </c>
      <c r="E99" s="363">
        <v>7981</v>
      </c>
      <c r="F99" s="366">
        <v>885877</v>
      </c>
      <c r="G99" s="368">
        <v>442938.5</v>
      </c>
      <c r="H99" s="369">
        <v>72742</v>
      </c>
      <c r="I99" s="370">
        <v>72742</v>
      </c>
      <c r="J99" s="162">
        <f t="shared" ref="J99:J130" si="18">+I99-H99</f>
        <v>0</v>
      </c>
      <c r="K99" s="162"/>
      <c r="L99" s="333">
        <f t="shared" ref="L99:L104" si="19">H99</f>
        <v>72742</v>
      </c>
      <c r="M99" s="161">
        <f t="shared" ref="M99:M130" si="20">IF(L99&lt;&gt;0,+H99-L99,0)</f>
        <v>0</v>
      </c>
      <c r="N99" s="333">
        <f t="shared" ref="N99:N104" si="21">I99</f>
        <v>72742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/>
      </c>
      <c r="C100" s="157">
        <f>IF(D93="","-",+C99+1)</f>
        <v>2010</v>
      </c>
      <c r="D100" s="361">
        <v>885877</v>
      </c>
      <c r="E100" s="363">
        <v>17527</v>
      </c>
      <c r="F100" s="366">
        <v>868350</v>
      </c>
      <c r="G100" s="366">
        <v>877113.5</v>
      </c>
      <c r="H100" s="369">
        <v>158580.20000000001</v>
      </c>
      <c r="I100" s="370">
        <v>158580.20000000001</v>
      </c>
      <c r="J100" s="162">
        <f t="shared" si="18"/>
        <v>0</v>
      </c>
      <c r="K100" s="162"/>
      <c r="L100" s="333">
        <f t="shared" si="19"/>
        <v>158580.20000000001</v>
      </c>
      <c r="M100" s="162">
        <f t="shared" si="20"/>
        <v>0</v>
      </c>
      <c r="N100" s="333">
        <f t="shared" si="21"/>
        <v>158580.20000000001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384">
        <f>IF(D93="","-",+C100+1)</f>
        <v>2011</v>
      </c>
      <c r="D101" s="361">
        <v>868350</v>
      </c>
      <c r="E101" s="363">
        <v>17190</v>
      </c>
      <c r="F101" s="366">
        <v>851160</v>
      </c>
      <c r="G101" s="366">
        <v>859755</v>
      </c>
      <c r="H101" s="363">
        <v>137395.30233025842</v>
      </c>
      <c r="I101" s="365">
        <v>137395.30233025842</v>
      </c>
      <c r="J101" s="162">
        <f t="shared" si="18"/>
        <v>0</v>
      </c>
      <c r="K101" s="162"/>
      <c r="L101" s="375">
        <f t="shared" si="19"/>
        <v>137395.30233025842</v>
      </c>
      <c r="M101" s="376">
        <f t="shared" si="20"/>
        <v>0</v>
      </c>
      <c r="N101" s="375">
        <f t="shared" si="21"/>
        <v>137395.30233025842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4"/>
        <v/>
      </c>
      <c r="C102" s="384">
        <f>IF(D93="","-",+C101+1)</f>
        <v>2012</v>
      </c>
      <c r="D102" s="361">
        <v>851160</v>
      </c>
      <c r="E102" s="363">
        <v>17190</v>
      </c>
      <c r="F102" s="366">
        <v>833970</v>
      </c>
      <c r="G102" s="366">
        <v>842565</v>
      </c>
      <c r="H102" s="363">
        <v>138397.59402070014</v>
      </c>
      <c r="I102" s="365">
        <v>138397.59402070014</v>
      </c>
      <c r="J102" s="162">
        <v>0</v>
      </c>
      <c r="K102" s="162"/>
      <c r="L102" s="375">
        <f t="shared" si="19"/>
        <v>138397.59402070014</v>
      </c>
      <c r="M102" s="376">
        <f t="shared" ref="M102:M107" si="25">IF(L102&lt;&gt;0,+H102-L102,0)</f>
        <v>0</v>
      </c>
      <c r="N102" s="375">
        <f t="shared" si="21"/>
        <v>138397.59402070014</v>
      </c>
      <c r="O102" s="162">
        <f t="shared" ref="O102:O107" si="26">IF(N102&lt;&gt;0,+I102-N102,0)</f>
        <v>0</v>
      </c>
      <c r="P102" s="162">
        <f t="shared" ref="P102:P107" si="27">+O102-M102</f>
        <v>0</v>
      </c>
    </row>
    <row r="103" spans="1:16">
      <c r="B103" s="9" t="str">
        <f t="shared" si="24"/>
        <v/>
      </c>
      <c r="C103" s="157">
        <f>IF(D93="","-",+C102+1)</f>
        <v>2013</v>
      </c>
      <c r="D103" s="361">
        <v>833970</v>
      </c>
      <c r="E103" s="363">
        <v>17190</v>
      </c>
      <c r="F103" s="366">
        <v>816780</v>
      </c>
      <c r="G103" s="366">
        <v>825375</v>
      </c>
      <c r="H103" s="363">
        <v>135994.14234787846</v>
      </c>
      <c r="I103" s="365">
        <v>135994.14234787846</v>
      </c>
      <c r="J103" s="162">
        <v>0</v>
      </c>
      <c r="K103" s="162"/>
      <c r="L103" s="375">
        <f t="shared" si="19"/>
        <v>135994.14234787846</v>
      </c>
      <c r="M103" s="376">
        <f t="shared" si="25"/>
        <v>0</v>
      </c>
      <c r="N103" s="375">
        <f t="shared" si="21"/>
        <v>135994.14234787846</v>
      </c>
      <c r="O103" s="162">
        <f t="shared" si="26"/>
        <v>0</v>
      </c>
      <c r="P103" s="162">
        <f t="shared" si="27"/>
        <v>0</v>
      </c>
    </row>
    <row r="104" spans="1:16">
      <c r="B104" s="9" t="str">
        <f t="shared" si="24"/>
        <v/>
      </c>
      <c r="C104" s="157">
        <f>IF(D93="","-",+C103+1)</f>
        <v>2014</v>
      </c>
      <c r="D104" s="361">
        <v>816780</v>
      </c>
      <c r="E104" s="363">
        <v>17190</v>
      </c>
      <c r="F104" s="366">
        <v>799590</v>
      </c>
      <c r="G104" s="366">
        <v>808185</v>
      </c>
      <c r="H104" s="363">
        <v>130817.50733584017</v>
      </c>
      <c r="I104" s="365">
        <v>130817.50733584017</v>
      </c>
      <c r="J104" s="162">
        <v>0</v>
      </c>
      <c r="K104" s="162"/>
      <c r="L104" s="375">
        <f t="shared" si="19"/>
        <v>130817.50733584017</v>
      </c>
      <c r="M104" s="376">
        <f t="shared" si="25"/>
        <v>0</v>
      </c>
      <c r="N104" s="375">
        <f t="shared" si="21"/>
        <v>130817.50733584017</v>
      </c>
      <c r="O104" s="162">
        <f t="shared" si="26"/>
        <v>0</v>
      </c>
      <c r="P104" s="162">
        <f t="shared" si="27"/>
        <v>0</v>
      </c>
    </row>
    <row r="105" spans="1:16">
      <c r="B105" s="9" t="str">
        <f t="shared" si="24"/>
        <v/>
      </c>
      <c r="C105" s="157">
        <f>IF(D93="","-",+C104+1)</f>
        <v>2015</v>
      </c>
      <c r="D105" s="361">
        <v>799590</v>
      </c>
      <c r="E105" s="363">
        <v>17190</v>
      </c>
      <c r="F105" s="366">
        <v>782400</v>
      </c>
      <c r="G105" s="366">
        <v>790995</v>
      </c>
      <c r="H105" s="363">
        <v>125114.9078367878</v>
      </c>
      <c r="I105" s="365">
        <v>125114.9078367878</v>
      </c>
      <c r="J105" s="162">
        <f t="shared" si="18"/>
        <v>0</v>
      </c>
      <c r="K105" s="162"/>
      <c r="L105" s="375">
        <f>H105</f>
        <v>125114.9078367878</v>
      </c>
      <c r="M105" s="376">
        <f t="shared" si="25"/>
        <v>0</v>
      </c>
      <c r="N105" s="375">
        <f>I105</f>
        <v>125114.9078367878</v>
      </c>
      <c r="O105" s="162">
        <f t="shared" si="26"/>
        <v>0</v>
      </c>
      <c r="P105" s="162">
        <f t="shared" si="27"/>
        <v>0</v>
      </c>
    </row>
    <row r="106" spans="1:16">
      <c r="B106" s="9" t="str">
        <f t="shared" si="24"/>
        <v/>
      </c>
      <c r="C106" s="157">
        <f>IF(D93="","-",+C105+1)</f>
        <v>2016</v>
      </c>
      <c r="D106" s="361">
        <v>782400</v>
      </c>
      <c r="E106" s="363">
        <v>19432</v>
      </c>
      <c r="F106" s="366">
        <v>762968</v>
      </c>
      <c r="G106" s="366">
        <v>772684</v>
      </c>
      <c r="H106" s="363">
        <v>119043.13650322839</v>
      </c>
      <c r="I106" s="365">
        <v>119043.13650322839</v>
      </c>
      <c r="J106" s="162">
        <f t="shared" si="18"/>
        <v>0</v>
      </c>
      <c r="K106" s="162"/>
      <c r="L106" s="375">
        <f>H106</f>
        <v>119043.13650322839</v>
      </c>
      <c r="M106" s="376">
        <f t="shared" si="25"/>
        <v>0</v>
      </c>
      <c r="N106" s="375">
        <f>I106</f>
        <v>119043.13650322839</v>
      </c>
      <c r="O106" s="162">
        <f t="shared" si="26"/>
        <v>0</v>
      </c>
      <c r="P106" s="162">
        <f t="shared" si="27"/>
        <v>0</v>
      </c>
    </row>
    <row r="107" spans="1:16">
      <c r="B107" s="9" t="str">
        <f t="shared" si="24"/>
        <v/>
      </c>
      <c r="C107" s="157">
        <f>IF(D93="","-",+C106+1)</f>
        <v>2017</v>
      </c>
      <c r="D107" s="361">
        <v>762968</v>
      </c>
      <c r="E107" s="363">
        <v>19432</v>
      </c>
      <c r="F107" s="366">
        <v>743536</v>
      </c>
      <c r="G107" s="366">
        <v>753252</v>
      </c>
      <c r="H107" s="363">
        <v>114983.91552559278</v>
      </c>
      <c r="I107" s="365">
        <v>114983.91552559278</v>
      </c>
      <c r="J107" s="162">
        <f t="shared" si="18"/>
        <v>0</v>
      </c>
      <c r="K107" s="162"/>
      <c r="L107" s="375">
        <f>H107</f>
        <v>114983.91552559278</v>
      </c>
      <c r="M107" s="376">
        <f t="shared" si="25"/>
        <v>0</v>
      </c>
      <c r="N107" s="375">
        <f>I107</f>
        <v>114983.91552559278</v>
      </c>
      <c r="O107" s="162">
        <f t="shared" si="26"/>
        <v>0</v>
      </c>
      <c r="P107" s="162">
        <f t="shared" si="27"/>
        <v>0</v>
      </c>
    </row>
    <row r="108" spans="1:16">
      <c r="B108" s="9" t="str">
        <f t="shared" si="24"/>
        <v/>
      </c>
      <c r="C108" s="157">
        <f>IF(D93="","-",+C107+1)</f>
        <v>2018</v>
      </c>
      <c r="D108" s="158">
        <f>IF(F107+SUM(E$99:E107)=D$92,F107,D$92-SUM(E$99:E107))</f>
        <v>743536</v>
      </c>
      <c r="E108" s="165">
        <f>IF(+J96&lt;F107,J96,D108)</f>
        <v>20787</v>
      </c>
      <c r="F108" s="163">
        <f t="shared" ref="F108:F130" si="28">+D108-E108</f>
        <v>722749</v>
      </c>
      <c r="G108" s="163">
        <f t="shared" ref="G108:G130" si="29">+(F108+D108)/2</f>
        <v>733142.5</v>
      </c>
      <c r="H108" s="167">
        <f t="shared" ref="H108:H131" si="30">+J$94*G108+E108</f>
        <v>96106.810302403712</v>
      </c>
      <c r="I108" s="312">
        <f t="shared" ref="I108:I131" si="31">+J$95*G108+E108</f>
        <v>96106.810302403712</v>
      </c>
      <c r="J108" s="162">
        <f t="shared" si="18"/>
        <v>0</v>
      </c>
      <c r="K108" s="162"/>
      <c r="L108" s="330"/>
      <c r="M108" s="162">
        <f t="shared" si="20"/>
        <v>0</v>
      </c>
      <c r="N108" s="330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2019</v>
      </c>
      <c r="D109" s="158">
        <f>IF(F108+SUM(E$99:E108)=D$92,F108,D$92-SUM(E$99:E108))</f>
        <v>722749</v>
      </c>
      <c r="E109" s="165">
        <f>IF(+J96&lt;F108,J96,D109)</f>
        <v>20787</v>
      </c>
      <c r="F109" s="163">
        <f t="shared" si="28"/>
        <v>701962</v>
      </c>
      <c r="G109" s="163">
        <f t="shared" si="29"/>
        <v>712355.5</v>
      </c>
      <c r="H109" s="167">
        <f t="shared" si="30"/>
        <v>93971.246074772571</v>
      </c>
      <c r="I109" s="312">
        <f t="shared" si="31"/>
        <v>93971.246074772571</v>
      </c>
      <c r="J109" s="162">
        <f t="shared" si="18"/>
        <v>0</v>
      </c>
      <c r="K109" s="162"/>
      <c r="L109" s="330"/>
      <c r="M109" s="162">
        <f t="shared" si="20"/>
        <v>0</v>
      </c>
      <c r="N109" s="330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2020</v>
      </c>
      <c r="D110" s="158">
        <f>IF(F109+SUM(E$99:E109)=D$92,F109,D$92-SUM(E$99:E109))</f>
        <v>701962</v>
      </c>
      <c r="E110" s="165">
        <f>IF(+J96&lt;F109,J96,D110)</f>
        <v>20787</v>
      </c>
      <c r="F110" s="163">
        <f t="shared" si="28"/>
        <v>681175</v>
      </c>
      <c r="G110" s="163">
        <f t="shared" si="29"/>
        <v>691568.5</v>
      </c>
      <c r="H110" s="167">
        <f t="shared" si="30"/>
        <v>91835.68184714143</v>
      </c>
      <c r="I110" s="312">
        <f t="shared" si="31"/>
        <v>91835.68184714143</v>
      </c>
      <c r="J110" s="162">
        <f t="shared" si="18"/>
        <v>0</v>
      </c>
      <c r="K110" s="162"/>
      <c r="L110" s="330"/>
      <c r="M110" s="162">
        <f t="shared" si="20"/>
        <v>0</v>
      </c>
      <c r="N110" s="330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2021</v>
      </c>
      <c r="D111" s="158">
        <f>IF(F110+SUM(E$99:E110)=D$92,F110,D$92-SUM(E$99:E110))</f>
        <v>681175</v>
      </c>
      <c r="E111" s="165">
        <f>IF(+J96&lt;F110,J96,D111)</f>
        <v>20787</v>
      </c>
      <c r="F111" s="163">
        <f t="shared" si="28"/>
        <v>660388</v>
      </c>
      <c r="G111" s="163">
        <f t="shared" si="29"/>
        <v>670781.5</v>
      </c>
      <c r="H111" s="167">
        <f t="shared" si="30"/>
        <v>89700.117619510289</v>
      </c>
      <c r="I111" s="312">
        <f t="shared" si="31"/>
        <v>89700.117619510289</v>
      </c>
      <c r="J111" s="162">
        <f t="shared" si="18"/>
        <v>0</v>
      </c>
      <c r="K111" s="162"/>
      <c r="L111" s="330"/>
      <c r="M111" s="162">
        <f t="shared" si="20"/>
        <v>0</v>
      </c>
      <c r="N111" s="330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2022</v>
      </c>
      <c r="D112" s="158">
        <f>IF(F111+SUM(E$99:E111)=D$92,F111,D$92-SUM(E$99:E111))</f>
        <v>660388</v>
      </c>
      <c r="E112" s="165">
        <f>IF(+J96&lt;F111,J96,D112)</f>
        <v>20787</v>
      </c>
      <c r="F112" s="163">
        <f t="shared" si="28"/>
        <v>639601</v>
      </c>
      <c r="G112" s="163">
        <f t="shared" si="29"/>
        <v>649994.5</v>
      </c>
      <c r="H112" s="167">
        <f t="shared" si="30"/>
        <v>87564.553391879133</v>
      </c>
      <c r="I112" s="312">
        <f t="shared" si="31"/>
        <v>87564.553391879133</v>
      </c>
      <c r="J112" s="162">
        <f t="shared" si="18"/>
        <v>0</v>
      </c>
      <c r="K112" s="162"/>
      <c r="L112" s="330"/>
      <c r="M112" s="162">
        <f t="shared" si="20"/>
        <v>0</v>
      </c>
      <c r="N112" s="330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2023</v>
      </c>
      <c r="D113" s="158">
        <f>IF(F112+SUM(E$99:E112)=D$92,F112,D$92-SUM(E$99:E112))</f>
        <v>639601</v>
      </c>
      <c r="E113" s="165">
        <f>IF(+J96&lt;F112,J96,D113)</f>
        <v>20787</v>
      </c>
      <c r="F113" s="163">
        <f t="shared" si="28"/>
        <v>618814</v>
      </c>
      <c r="G113" s="163">
        <f t="shared" si="29"/>
        <v>629207.5</v>
      </c>
      <c r="H113" s="167">
        <f t="shared" si="30"/>
        <v>85428.989164247992</v>
      </c>
      <c r="I113" s="312">
        <f t="shared" si="31"/>
        <v>85428.989164247992</v>
      </c>
      <c r="J113" s="162">
        <f t="shared" si="18"/>
        <v>0</v>
      </c>
      <c r="K113" s="162"/>
      <c r="L113" s="330"/>
      <c r="M113" s="162">
        <f t="shared" si="20"/>
        <v>0</v>
      </c>
      <c r="N113" s="330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2024</v>
      </c>
      <c r="D114" s="158">
        <f>IF(F113+SUM(E$99:E113)=D$92,F113,D$92-SUM(E$99:E113))</f>
        <v>618814</v>
      </c>
      <c r="E114" s="165">
        <f>IF(+J96&lt;F113,J96,D114)</f>
        <v>20787</v>
      </c>
      <c r="F114" s="163">
        <f t="shared" si="28"/>
        <v>598027</v>
      </c>
      <c r="G114" s="163">
        <f t="shared" si="29"/>
        <v>608420.5</v>
      </c>
      <c r="H114" s="167">
        <f t="shared" si="30"/>
        <v>83293.424936616851</v>
      </c>
      <c r="I114" s="312">
        <f t="shared" si="31"/>
        <v>83293.424936616851</v>
      </c>
      <c r="J114" s="162">
        <f t="shared" si="18"/>
        <v>0</v>
      </c>
      <c r="K114" s="162"/>
      <c r="L114" s="330"/>
      <c r="M114" s="162">
        <f t="shared" si="20"/>
        <v>0</v>
      </c>
      <c r="N114" s="330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2025</v>
      </c>
      <c r="D115" s="158">
        <f>IF(F114+SUM(E$99:E114)=D$92,F114,D$92-SUM(E$99:E114))</f>
        <v>598027</v>
      </c>
      <c r="E115" s="165">
        <f>IF(+J96&lt;F114,J96,D115)</f>
        <v>20787</v>
      </c>
      <c r="F115" s="163">
        <f t="shared" si="28"/>
        <v>577240</v>
      </c>
      <c r="G115" s="163">
        <f t="shared" si="29"/>
        <v>587633.5</v>
      </c>
      <c r="H115" s="167">
        <f t="shared" si="30"/>
        <v>81157.860708985711</v>
      </c>
      <c r="I115" s="312">
        <f t="shared" si="31"/>
        <v>81157.860708985711</v>
      </c>
      <c r="J115" s="162">
        <f t="shared" si="18"/>
        <v>0</v>
      </c>
      <c r="K115" s="162"/>
      <c r="L115" s="330"/>
      <c r="M115" s="162">
        <f t="shared" si="20"/>
        <v>0</v>
      </c>
      <c r="N115" s="330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2026</v>
      </c>
      <c r="D116" s="158">
        <f>IF(F115+SUM(E$99:E115)=D$92,F115,D$92-SUM(E$99:E115))</f>
        <v>577240</v>
      </c>
      <c r="E116" s="165">
        <f>IF(+J96&lt;F115,J96,D116)</f>
        <v>20787</v>
      </c>
      <c r="F116" s="163">
        <f t="shared" si="28"/>
        <v>556453</v>
      </c>
      <c r="G116" s="163">
        <f t="shared" si="29"/>
        <v>566846.5</v>
      </c>
      <c r="H116" s="167">
        <f t="shared" si="30"/>
        <v>79022.29648135457</v>
      </c>
      <c r="I116" s="312">
        <f t="shared" si="31"/>
        <v>79022.29648135457</v>
      </c>
      <c r="J116" s="162">
        <f t="shared" si="18"/>
        <v>0</v>
      </c>
      <c r="K116" s="162"/>
      <c r="L116" s="330"/>
      <c r="M116" s="162">
        <f t="shared" si="20"/>
        <v>0</v>
      </c>
      <c r="N116" s="330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2027</v>
      </c>
      <c r="D117" s="158">
        <f>IF(F116+SUM(E$99:E116)=D$92,F116,D$92-SUM(E$99:E116))</f>
        <v>556453</v>
      </c>
      <c r="E117" s="165">
        <f>IF(+J96&lt;F116,J96,D117)</f>
        <v>20787</v>
      </c>
      <c r="F117" s="163">
        <f t="shared" si="28"/>
        <v>535666</v>
      </c>
      <c r="G117" s="163">
        <f t="shared" si="29"/>
        <v>546059.5</v>
      </c>
      <c r="H117" s="167">
        <f t="shared" si="30"/>
        <v>76886.732253723429</v>
      </c>
      <c r="I117" s="312">
        <f t="shared" si="31"/>
        <v>76886.732253723429</v>
      </c>
      <c r="J117" s="162">
        <f t="shared" si="18"/>
        <v>0</v>
      </c>
      <c r="K117" s="162"/>
      <c r="L117" s="330"/>
      <c r="M117" s="162">
        <f t="shared" si="20"/>
        <v>0</v>
      </c>
      <c r="N117" s="330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2028</v>
      </c>
      <c r="D118" s="158">
        <f>IF(F117+SUM(E$99:E117)=D$92,F117,D$92-SUM(E$99:E117))</f>
        <v>535666</v>
      </c>
      <c r="E118" s="165">
        <f>IF(+J96&lt;F117,J96,D118)</f>
        <v>20787</v>
      </c>
      <c r="F118" s="163">
        <f t="shared" si="28"/>
        <v>514879</v>
      </c>
      <c r="G118" s="163">
        <f t="shared" si="29"/>
        <v>525272.5</v>
      </c>
      <c r="H118" s="167">
        <f t="shared" si="30"/>
        <v>74751.168026092273</v>
      </c>
      <c r="I118" s="312">
        <f t="shared" si="31"/>
        <v>74751.168026092273</v>
      </c>
      <c r="J118" s="162">
        <f t="shared" si="18"/>
        <v>0</v>
      </c>
      <c r="K118" s="162"/>
      <c r="L118" s="330"/>
      <c r="M118" s="162">
        <f t="shared" si="20"/>
        <v>0</v>
      </c>
      <c r="N118" s="330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2029</v>
      </c>
      <c r="D119" s="158">
        <f>IF(F118+SUM(E$99:E118)=D$92,F118,D$92-SUM(E$99:E118))</f>
        <v>514879</v>
      </c>
      <c r="E119" s="165">
        <f>IF(+J96&lt;F118,J96,D119)</f>
        <v>20787</v>
      </c>
      <c r="F119" s="163">
        <f t="shared" si="28"/>
        <v>494092</v>
      </c>
      <c r="G119" s="163">
        <f t="shared" si="29"/>
        <v>504485.5</v>
      </c>
      <c r="H119" s="167">
        <f t="shared" si="30"/>
        <v>72615.603798461132</v>
      </c>
      <c r="I119" s="312">
        <f t="shared" si="31"/>
        <v>72615.603798461132</v>
      </c>
      <c r="J119" s="162">
        <f t="shared" si="18"/>
        <v>0</v>
      </c>
      <c r="K119" s="162"/>
      <c r="L119" s="330"/>
      <c r="M119" s="162">
        <f t="shared" si="20"/>
        <v>0</v>
      </c>
      <c r="N119" s="330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2030</v>
      </c>
      <c r="D120" s="158">
        <f>IF(F119+SUM(E$99:E119)=D$92,F119,D$92-SUM(E$99:E119))</f>
        <v>494092</v>
      </c>
      <c r="E120" s="165">
        <f>IF(+J96&lt;F119,J96,D120)</f>
        <v>20787</v>
      </c>
      <c r="F120" s="163">
        <f t="shared" si="28"/>
        <v>473305</v>
      </c>
      <c r="G120" s="163">
        <f t="shared" si="29"/>
        <v>483698.5</v>
      </c>
      <c r="H120" s="167">
        <f t="shared" si="30"/>
        <v>70480.039570829977</v>
      </c>
      <c r="I120" s="312">
        <f t="shared" si="31"/>
        <v>70480.039570829977</v>
      </c>
      <c r="J120" s="162">
        <f t="shared" si="18"/>
        <v>0</v>
      </c>
      <c r="K120" s="162"/>
      <c r="L120" s="330"/>
      <c r="M120" s="162">
        <f t="shared" si="20"/>
        <v>0</v>
      </c>
      <c r="N120" s="330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2031</v>
      </c>
      <c r="D121" s="158">
        <f>IF(F120+SUM(E$99:E120)=D$92,F120,D$92-SUM(E$99:E120))</f>
        <v>473305</v>
      </c>
      <c r="E121" s="165">
        <f>IF(+J96&lt;F120,J96,D121)</f>
        <v>20787</v>
      </c>
      <c r="F121" s="163">
        <f t="shared" si="28"/>
        <v>452518</v>
      </c>
      <c r="G121" s="163">
        <f t="shared" si="29"/>
        <v>462911.5</v>
      </c>
      <c r="H121" s="167">
        <f t="shared" si="30"/>
        <v>68344.475343198836</v>
      </c>
      <c r="I121" s="312">
        <f t="shared" si="31"/>
        <v>68344.475343198836</v>
      </c>
      <c r="J121" s="162">
        <f t="shared" si="18"/>
        <v>0</v>
      </c>
      <c r="K121" s="162"/>
      <c r="L121" s="330"/>
      <c r="M121" s="162">
        <f t="shared" si="20"/>
        <v>0</v>
      </c>
      <c r="N121" s="330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2032</v>
      </c>
      <c r="D122" s="158">
        <f>IF(F121+SUM(E$99:E121)=D$92,F121,D$92-SUM(E$99:E121))</f>
        <v>452518</v>
      </c>
      <c r="E122" s="165">
        <f>IF(+J96&lt;F121,J96,D122)</f>
        <v>20787</v>
      </c>
      <c r="F122" s="163">
        <f t="shared" si="28"/>
        <v>431731</v>
      </c>
      <c r="G122" s="163">
        <f t="shared" si="29"/>
        <v>442124.5</v>
      </c>
      <c r="H122" s="167">
        <f t="shared" si="30"/>
        <v>66208.911115567695</v>
      </c>
      <c r="I122" s="312">
        <f t="shared" si="31"/>
        <v>66208.911115567695</v>
      </c>
      <c r="J122" s="162">
        <f t="shared" si="18"/>
        <v>0</v>
      </c>
      <c r="K122" s="162"/>
      <c r="L122" s="330"/>
      <c r="M122" s="162">
        <f t="shared" si="20"/>
        <v>0</v>
      </c>
      <c r="N122" s="330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2033</v>
      </c>
      <c r="D123" s="158">
        <f>IF(F122+SUM(E$99:E122)=D$92,F122,D$92-SUM(E$99:E122))</f>
        <v>431731</v>
      </c>
      <c r="E123" s="165">
        <f>IF(+J96&lt;F122,J96,D123)</f>
        <v>20787</v>
      </c>
      <c r="F123" s="163">
        <f t="shared" si="28"/>
        <v>410944</v>
      </c>
      <c r="G123" s="163">
        <f t="shared" si="29"/>
        <v>421337.5</v>
      </c>
      <c r="H123" s="167">
        <f t="shared" si="30"/>
        <v>64073.346887936554</v>
      </c>
      <c r="I123" s="312">
        <f t="shared" si="31"/>
        <v>64073.346887936554</v>
      </c>
      <c r="J123" s="162">
        <f t="shared" si="18"/>
        <v>0</v>
      </c>
      <c r="K123" s="162"/>
      <c r="L123" s="330"/>
      <c r="M123" s="162">
        <f t="shared" si="20"/>
        <v>0</v>
      </c>
      <c r="N123" s="330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2034</v>
      </c>
      <c r="D124" s="158">
        <f>IF(F123+SUM(E$99:E123)=D$92,F123,D$92-SUM(E$99:E123))</f>
        <v>410944</v>
      </c>
      <c r="E124" s="165">
        <f>IF(+J96&lt;F123,J96,D124)</f>
        <v>20787</v>
      </c>
      <c r="F124" s="163">
        <f t="shared" si="28"/>
        <v>390157</v>
      </c>
      <c r="G124" s="163">
        <f t="shared" si="29"/>
        <v>400550.5</v>
      </c>
      <c r="H124" s="167">
        <f t="shared" si="30"/>
        <v>61937.782660305413</v>
      </c>
      <c r="I124" s="312">
        <f t="shared" si="31"/>
        <v>61937.782660305413</v>
      </c>
      <c r="J124" s="162">
        <f t="shared" si="18"/>
        <v>0</v>
      </c>
      <c r="K124" s="162"/>
      <c r="L124" s="330"/>
      <c r="M124" s="162">
        <f t="shared" si="20"/>
        <v>0</v>
      </c>
      <c r="N124" s="330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2035</v>
      </c>
      <c r="D125" s="158">
        <f>IF(F124+SUM(E$99:E124)=D$92,F124,D$92-SUM(E$99:E124))</f>
        <v>390157</v>
      </c>
      <c r="E125" s="165">
        <f>IF(+J96&lt;F124,J96,D125)</f>
        <v>20787</v>
      </c>
      <c r="F125" s="163">
        <f t="shared" si="28"/>
        <v>369370</v>
      </c>
      <c r="G125" s="163">
        <f t="shared" si="29"/>
        <v>379763.5</v>
      </c>
      <c r="H125" s="167">
        <f t="shared" si="30"/>
        <v>59802.218432674264</v>
      </c>
      <c r="I125" s="312">
        <f t="shared" si="31"/>
        <v>59802.218432674264</v>
      </c>
      <c r="J125" s="162">
        <f t="shared" si="18"/>
        <v>0</v>
      </c>
      <c r="K125" s="162"/>
      <c r="L125" s="330"/>
      <c r="M125" s="162">
        <f t="shared" si="20"/>
        <v>0</v>
      </c>
      <c r="N125" s="330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2036</v>
      </c>
      <c r="D126" s="158">
        <f>IF(F125+SUM(E$99:E125)=D$92,F125,D$92-SUM(E$99:E125))</f>
        <v>369370</v>
      </c>
      <c r="E126" s="165">
        <f>IF(+J96&lt;F125,J96,D126)</f>
        <v>20787</v>
      </c>
      <c r="F126" s="163">
        <f t="shared" si="28"/>
        <v>348583</v>
      </c>
      <c r="G126" s="163">
        <f t="shared" si="29"/>
        <v>358976.5</v>
      </c>
      <c r="H126" s="167">
        <f t="shared" si="30"/>
        <v>57666.654205043124</v>
      </c>
      <c r="I126" s="312">
        <f t="shared" si="31"/>
        <v>57666.654205043124</v>
      </c>
      <c r="J126" s="162">
        <f t="shared" si="18"/>
        <v>0</v>
      </c>
      <c r="K126" s="162"/>
      <c r="L126" s="330"/>
      <c r="M126" s="162">
        <f t="shared" si="20"/>
        <v>0</v>
      </c>
      <c r="N126" s="330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2037</v>
      </c>
      <c r="D127" s="158">
        <f>IF(F126+SUM(E$99:E126)=D$92,F126,D$92-SUM(E$99:E126))</f>
        <v>348583</v>
      </c>
      <c r="E127" s="165">
        <f>IF(+J96&lt;F126,J96,D127)</f>
        <v>20787</v>
      </c>
      <c r="F127" s="163">
        <f t="shared" si="28"/>
        <v>327796</v>
      </c>
      <c r="G127" s="163">
        <f t="shared" si="29"/>
        <v>338189.5</v>
      </c>
      <c r="H127" s="167">
        <f t="shared" si="30"/>
        <v>55531.089977411975</v>
      </c>
      <c r="I127" s="312">
        <f t="shared" si="31"/>
        <v>55531.089977411975</v>
      </c>
      <c r="J127" s="162">
        <f t="shared" si="18"/>
        <v>0</v>
      </c>
      <c r="K127" s="162"/>
      <c r="L127" s="330"/>
      <c r="M127" s="162">
        <f t="shared" si="20"/>
        <v>0</v>
      </c>
      <c r="N127" s="330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2038</v>
      </c>
      <c r="D128" s="158">
        <f>IF(F127+SUM(E$99:E127)=D$92,F127,D$92-SUM(E$99:E127))</f>
        <v>327796</v>
      </c>
      <c r="E128" s="165">
        <f>IF(+J96&lt;F127,J96,D128)</f>
        <v>20787</v>
      </c>
      <c r="F128" s="163">
        <f t="shared" si="28"/>
        <v>307009</v>
      </c>
      <c r="G128" s="163">
        <f t="shared" si="29"/>
        <v>317402.5</v>
      </c>
      <c r="H128" s="167">
        <f t="shared" si="30"/>
        <v>53395.525749780834</v>
      </c>
      <c r="I128" s="312">
        <f t="shared" si="31"/>
        <v>53395.525749780834</v>
      </c>
      <c r="J128" s="162">
        <f t="shared" si="18"/>
        <v>0</v>
      </c>
      <c r="K128" s="162"/>
      <c r="L128" s="330"/>
      <c r="M128" s="162">
        <f t="shared" si="20"/>
        <v>0</v>
      </c>
      <c r="N128" s="330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2039</v>
      </c>
      <c r="D129" s="158">
        <f>IF(F128+SUM(E$99:E128)=D$92,F128,D$92-SUM(E$99:E128))</f>
        <v>307009</v>
      </c>
      <c r="E129" s="165">
        <f>IF(+J96&lt;F128,J96,D129)</f>
        <v>20787</v>
      </c>
      <c r="F129" s="163">
        <f t="shared" si="28"/>
        <v>286222</v>
      </c>
      <c r="G129" s="163">
        <f t="shared" si="29"/>
        <v>296615.5</v>
      </c>
      <c r="H129" s="167">
        <f t="shared" si="30"/>
        <v>51259.961522149693</v>
      </c>
      <c r="I129" s="312">
        <f t="shared" si="31"/>
        <v>51259.961522149693</v>
      </c>
      <c r="J129" s="162">
        <f t="shared" si="18"/>
        <v>0</v>
      </c>
      <c r="K129" s="162"/>
      <c r="L129" s="330"/>
      <c r="M129" s="162">
        <f t="shared" si="20"/>
        <v>0</v>
      </c>
      <c r="N129" s="330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2040</v>
      </c>
      <c r="D130" s="158">
        <f>IF(F129+SUM(E$99:E129)=D$92,F129,D$92-SUM(E$99:E129))</f>
        <v>286222</v>
      </c>
      <c r="E130" s="165">
        <f>IF(+J96&lt;F129,J96,D130)</f>
        <v>20787</v>
      </c>
      <c r="F130" s="163">
        <f t="shared" si="28"/>
        <v>265435</v>
      </c>
      <c r="G130" s="163">
        <f t="shared" si="29"/>
        <v>275828.5</v>
      </c>
      <c r="H130" s="167">
        <f t="shared" si="30"/>
        <v>49124.397294518545</v>
      </c>
      <c r="I130" s="312">
        <f t="shared" si="31"/>
        <v>49124.397294518545</v>
      </c>
      <c r="J130" s="162">
        <f t="shared" si="18"/>
        <v>0</v>
      </c>
      <c r="K130" s="162"/>
      <c r="L130" s="330"/>
      <c r="M130" s="162">
        <f t="shared" si="20"/>
        <v>0</v>
      </c>
      <c r="N130" s="330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2041</v>
      </c>
      <c r="D131" s="158">
        <f>IF(F130+SUM(E$99:E130)=D$92,F130,D$92-SUM(E$99:E130))</f>
        <v>265435</v>
      </c>
      <c r="E131" s="165">
        <f>IF(+J96&lt;F130,J96,D131)</f>
        <v>20787</v>
      </c>
      <c r="F131" s="163">
        <f t="shared" ref="F131:F154" si="32">+D131-E131</f>
        <v>244648</v>
      </c>
      <c r="G131" s="163">
        <f t="shared" ref="G131:G154" si="33">+(F131+D131)/2</f>
        <v>255041.5</v>
      </c>
      <c r="H131" s="167">
        <f t="shared" si="30"/>
        <v>46988.833066887397</v>
      </c>
      <c r="I131" s="312">
        <f t="shared" si="31"/>
        <v>46988.833066887397</v>
      </c>
      <c r="J131" s="162">
        <f t="shared" ref="J131:J154" si="34">+I131-H131</f>
        <v>0</v>
      </c>
      <c r="K131" s="162"/>
      <c r="L131" s="330"/>
      <c r="M131" s="162">
        <f t="shared" ref="M131:M154" si="35">IF(L131&lt;&gt;0,+H131-L131,0)</f>
        <v>0</v>
      </c>
      <c r="N131" s="330"/>
      <c r="O131" s="162">
        <f t="shared" ref="O131:O154" si="36">IF(N131&lt;&gt;0,+I131-N131,0)</f>
        <v>0</v>
      </c>
      <c r="P131" s="162">
        <f t="shared" ref="P131:P154" si="37">+O131-M131</f>
        <v>0</v>
      </c>
    </row>
    <row r="132" spans="2:16">
      <c r="B132" s="9" t="str">
        <f t="shared" si="24"/>
        <v/>
      </c>
      <c r="C132" s="157">
        <f>IF(D93="","-",+C131+1)</f>
        <v>2042</v>
      </c>
      <c r="D132" s="158">
        <f>IF(F131+SUM(E$99:E131)=D$92,F131,D$92-SUM(E$99:E131))</f>
        <v>244648</v>
      </c>
      <c r="E132" s="165">
        <f>IF(+J96&lt;F131,J96,D132)</f>
        <v>20787</v>
      </c>
      <c r="F132" s="163">
        <f t="shared" si="32"/>
        <v>223861</v>
      </c>
      <c r="G132" s="163">
        <f t="shared" si="33"/>
        <v>234254.5</v>
      </c>
      <c r="H132" s="167">
        <f t="shared" ref="H132:H154" si="38">+J$94*G132+E132</f>
        <v>44853.268839256256</v>
      </c>
      <c r="I132" s="312">
        <f t="shared" ref="I132:I154" si="39">+J$95*G132+E132</f>
        <v>44853.268839256256</v>
      </c>
      <c r="J132" s="162">
        <f t="shared" si="34"/>
        <v>0</v>
      </c>
      <c r="K132" s="162"/>
      <c r="L132" s="330"/>
      <c r="M132" s="162">
        <f t="shared" si="35"/>
        <v>0</v>
      </c>
      <c r="N132" s="330"/>
      <c r="O132" s="162">
        <f t="shared" si="36"/>
        <v>0</v>
      </c>
      <c r="P132" s="162">
        <f t="shared" si="37"/>
        <v>0</v>
      </c>
    </row>
    <row r="133" spans="2:16">
      <c r="B133" s="9" t="str">
        <f t="shared" si="24"/>
        <v/>
      </c>
      <c r="C133" s="157">
        <f>IF(D93="","-",+C132+1)</f>
        <v>2043</v>
      </c>
      <c r="D133" s="158">
        <f>IF(F132+SUM(E$99:E132)=D$92,F132,D$92-SUM(E$99:E132))</f>
        <v>223861</v>
      </c>
      <c r="E133" s="165">
        <f>IF(+J96&lt;F132,J96,D133)</f>
        <v>20787</v>
      </c>
      <c r="F133" s="163">
        <f t="shared" si="32"/>
        <v>203074</v>
      </c>
      <c r="G133" s="163">
        <f t="shared" si="33"/>
        <v>213467.5</v>
      </c>
      <c r="H133" s="167">
        <f t="shared" si="38"/>
        <v>42717.704611625115</v>
      </c>
      <c r="I133" s="312">
        <f t="shared" si="39"/>
        <v>42717.704611625115</v>
      </c>
      <c r="J133" s="162">
        <f t="shared" si="34"/>
        <v>0</v>
      </c>
      <c r="K133" s="162"/>
      <c r="L133" s="330"/>
      <c r="M133" s="162">
        <f t="shared" si="35"/>
        <v>0</v>
      </c>
      <c r="N133" s="330"/>
      <c r="O133" s="162">
        <f t="shared" si="36"/>
        <v>0</v>
      </c>
      <c r="P133" s="162">
        <f t="shared" si="37"/>
        <v>0</v>
      </c>
    </row>
    <row r="134" spans="2:16">
      <c r="B134" s="9" t="str">
        <f t="shared" si="24"/>
        <v/>
      </c>
      <c r="C134" s="157">
        <f>IF(D93="","-",+C133+1)</f>
        <v>2044</v>
      </c>
      <c r="D134" s="158">
        <f>IF(F133+SUM(E$99:E133)=D$92,F133,D$92-SUM(E$99:E133))</f>
        <v>203074</v>
      </c>
      <c r="E134" s="165">
        <f>IF(+J96&lt;F133,J96,D134)</f>
        <v>20787</v>
      </c>
      <c r="F134" s="163">
        <f t="shared" si="32"/>
        <v>182287</v>
      </c>
      <c r="G134" s="163">
        <f t="shared" si="33"/>
        <v>192680.5</v>
      </c>
      <c r="H134" s="167">
        <f t="shared" si="38"/>
        <v>40582.140383993974</v>
      </c>
      <c r="I134" s="312">
        <f t="shared" si="39"/>
        <v>40582.140383993974</v>
      </c>
      <c r="J134" s="162">
        <f t="shared" si="34"/>
        <v>0</v>
      </c>
      <c r="K134" s="162"/>
      <c r="L134" s="330"/>
      <c r="M134" s="162">
        <f t="shared" si="35"/>
        <v>0</v>
      </c>
      <c r="N134" s="330"/>
      <c r="O134" s="162">
        <f t="shared" si="36"/>
        <v>0</v>
      </c>
      <c r="P134" s="162">
        <f t="shared" si="37"/>
        <v>0</v>
      </c>
    </row>
    <row r="135" spans="2:16">
      <c r="B135" s="9" t="str">
        <f t="shared" si="24"/>
        <v/>
      </c>
      <c r="C135" s="157">
        <f>IF(D93="","-",+C134+1)</f>
        <v>2045</v>
      </c>
      <c r="D135" s="158">
        <f>IF(F134+SUM(E$99:E134)=D$92,F134,D$92-SUM(E$99:E134))</f>
        <v>182287</v>
      </c>
      <c r="E135" s="165">
        <f>IF(+J96&lt;F134,J96,D135)</f>
        <v>20787</v>
      </c>
      <c r="F135" s="163">
        <f t="shared" si="32"/>
        <v>161500</v>
      </c>
      <c r="G135" s="163">
        <f t="shared" si="33"/>
        <v>171893.5</v>
      </c>
      <c r="H135" s="167">
        <f t="shared" si="38"/>
        <v>38446.576156362826</v>
      </c>
      <c r="I135" s="312">
        <f t="shared" si="39"/>
        <v>38446.576156362826</v>
      </c>
      <c r="J135" s="162">
        <f t="shared" si="34"/>
        <v>0</v>
      </c>
      <c r="K135" s="162"/>
      <c r="L135" s="330"/>
      <c r="M135" s="162">
        <f t="shared" si="35"/>
        <v>0</v>
      </c>
      <c r="N135" s="330"/>
      <c r="O135" s="162">
        <f t="shared" si="36"/>
        <v>0</v>
      </c>
      <c r="P135" s="162">
        <f t="shared" si="37"/>
        <v>0</v>
      </c>
    </row>
    <row r="136" spans="2:16">
      <c r="B136" s="9" t="str">
        <f t="shared" si="24"/>
        <v/>
      </c>
      <c r="C136" s="157">
        <f>IF(D93="","-",+C135+1)</f>
        <v>2046</v>
      </c>
      <c r="D136" s="158">
        <f>IF(F135+SUM(E$99:E135)=D$92,F135,D$92-SUM(E$99:E135))</f>
        <v>161500</v>
      </c>
      <c r="E136" s="165">
        <f>IF(+J96&lt;F135,J96,D136)</f>
        <v>20787</v>
      </c>
      <c r="F136" s="163">
        <f t="shared" si="32"/>
        <v>140713</v>
      </c>
      <c r="G136" s="163">
        <f t="shared" si="33"/>
        <v>151106.5</v>
      </c>
      <c r="H136" s="167">
        <f t="shared" si="38"/>
        <v>36311.011928731677</v>
      </c>
      <c r="I136" s="312">
        <f t="shared" si="39"/>
        <v>36311.011928731677</v>
      </c>
      <c r="J136" s="162">
        <f t="shared" si="34"/>
        <v>0</v>
      </c>
      <c r="K136" s="162"/>
      <c r="L136" s="330"/>
      <c r="M136" s="162">
        <f t="shared" si="35"/>
        <v>0</v>
      </c>
      <c r="N136" s="330"/>
      <c r="O136" s="162">
        <f t="shared" si="36"/>
        <v>0</v>
      </c>
      <c r="P136" s="162">
        <f t="shared" si="37"/>
        <v>0</v>
      </c>
    </row>
    <row r="137" spans="2:16">
      <c r="B137" s="9" t="str">
        <f t="shared" si="24"/>
        <v/>
      </c>
      <c r="C137" s="157">
        <f>IF(D93="","-",+C136+1)</f>
        <v>2047</v>
      </c>
      <c r="D137" s="158">
        <f>IF(F136+SUM(E$99:E136)=D$92,F136,D$92-SUM(E$99:E136))</f>
        <v>140713</v>
      </c>
      <c r="E137" s="165">
        <f>IF(+J96&lt;F136,J96,D137)</f>
        <v>20787</v>
      </c>
      <c r="F137" s="163">
        <f t="shared" si="32"/>
        <v>119926</v>
      </c>
      <c r="G137" s="163">
        <f t="shared" si="33"/>
        <v>130319.5</v>
      </c>
      <c r="H137" s="167">
        <f t="shared" si="38"/>
        <v>34175.447701100537</v>
      </c>
      <c r="I137" s="312">
        <f t="shared" si="39"/>
        <v>34175.447701100537</v>
      </c>
      <c r="J137" s="162">
        <f t="shared" si="34"/>
        <v>0</v>
      </c>
      <c r="K137" s="162"/>
      <c r="L137" s="330"/>
      <c r="M137" s="162">
        <f t="shared" si="35"/>
        <v>0</v>
      </c>
      <c r="N137" s="330"/>
      <c r="O137" s="162">
        <f t="shared" si="36"/>
        <v>0</v>
      </c>
      <c r="P137" s="162">
        <f t="shared" si="37"/>
        <v>0</v>
      </c>
    </row>
    <row r="138" spans="2:16">
      <c r="B138" s="9" t="str">
        <f t="shared" si="24"/>
        <v/>
      </c>
      <c r="C138" s="157">
        <f>IF(D93="","-",+C137+1)</f>
        <v>2048</v>
      </c>
      <c r="D138" s="158">
        <f>IF(F137+SUM(E$99:E137)=D$92,F137,D$92-SUM(E$99:E137))</f>
        <v>119926</v>
      </c>
      <c r="E138" s="165">
        <f>IF(+J96&lt;F137,J96,D138)</f>
        <v>20787</v>
      </c>
      <c r="F138" s="163">
        <f t="shared" si="32"/>
        <v>99139</v>
      </c>
      <c r="G138" s="163">
        <f t="shared" si="33"/>
        <v>109532.5</v>
      </c>
      <c r="H138" s="167">
        <f t="shared" si="38"/>
        <v>32039.883473469396</v>
      </c>
      <c r="I138" s="312">
        <f t="shared" si="39"/>
        <v>32039.883473469396</v>
      </c>
      <c r="J138" s="162">
        <f t="shared" si="34"/>
        <v>0</v>
      </c>
      <c r="K138" s="162"/>
      <c r="L138" s="330"/>
      <c r="M138" s="162">
        <f t="shared" si="35"/>
        <v>0</v>
      </c>
      <c r="N138" s="330"/>
      <c r="O138" s="162">
        <f t="shared" si="36"/>
        <v>0</v>
      </c>
      <c r="P138" s="162">
        <f t="shared" si="37"/>
        <v>0</v>
      </c>
    </row>
    <row r="139" spans="2:16">
      <c r="B139" s="9" t="str">
        <f t="shared" si="24"/>
        <v/>
      </c>
      <c r="C139" s="157">
        <f>IF(D93="","-",+C138+1)</f>
        <v>2049</v>
      </c>
      <c r="D139" s="158">
        <f>IF(F138+SUM(E$99:E138)=D$92,F138,D$92-SUM(E$99:E138))</f>
        <v>99139</v>
      </c>
      <c r="E139" s="165">
        <f>IF(+J96&lt;F138,J96,D139)</f>
        <v>20787</v>
      </c>
      <c r="F139" s="163">
        <f t="shared" si="32"/>
        <v>78352</v>
      </c>
      <c r="G139" s="163">
        <f t="shared" si="33"/>
        <v>88745.5</v>
      </c>
      <c r="H139" s="167">
        <f t="shared" si="38"/>
        <v>29904.319245838247</v>
      </c>
      <c r="I139" s="312">
        <f t="shared" si="39"/>
        <v>29904.319245838247</v>
      </c>
      <c r="J139" s="162">
        <f t="shared" si="34"/>
        <v>0</v>
      </c>
      <c r="K139" s="162"/>
      <c r="L139" s="330"/>
      <c r="M139" s="162">
        <f t="shared" si="35"/>
        <v>0</v>
      </c>
      <c r="N139" s="330"/>
      <c r="O139" s="162">
        <f t="shared" si="36"/>
        <v>0</v>
      </c>
      <c r="P139" s="162">
        <f t="shared" si="37"/>
        <v>0</v>
      </c>
    </row>
    <row r="140" spans="2:16">
      <c r="B140" s="9" t="str">
        <f t="shared" si="24"/>
        <v/>
      </c>
      <c r="C140" s="157">
        <f>IF(D93="","-",+C139+1)</f>
        <v>2050</v>
      </c>
      <c r="D140" s="158">
        <f>IF(F139+SUM(E$99:E139)=D$92,F139,D$92-SUM(E$99:E139))</f>
        <v>78352</v>
      </c>
      <c r="E140" s="165">
        <f>IF(+J96&lt;F139,J96,D140)</f>
        <v>20787</v>
      </c>
      <c r="F140" s="163">
        <f t="shared" si="32"/>
        <v>57565</v>
      </c>
      <c r="G140" s="163">
        <f t="shared" si="33"/>
        <v>67958.5</v>
      </c>
      <c r="H140" s="167">
        <f t="shared" si="38"/>
        <v>27768.755018207106</v>
      </c>
      <c r="I140" s="312">
        <f t="shared" si="39"/>
        <v>27768.755018207106</v>
      </c>
      <c r="J140" s="162">
        <f t="shared" si="34"/>
        <v>0</v>
      </c>
      <c r="K140" s="162"/>
      <c r="L140" s="330"/>
      <c r="M140" s="162">
        <f t="shared" si="35"/>
        <v>0</v>
      </c>
      <c r="N140" s="330"/>
      <c r="O140" s="162">
        <f t="shared" si="36"/>
        <v>0</v>
      </c>
      <c r="P140" s="162">
        <f t="shared" si="37"/>
        <v>0</v>
      </c>
    </row>
    <row r="141" spans="2:16">
      <c r="B141" s="9" t="str">
        <f t="shared" si="24"/>
        <v/>
      </c>
      <c r="C141" s="157">
        <f>IF(D93="","-",+C140+1)</f>
        <v>2051</v>
      </c>
      <c r="D141" s="158">
        <f>IF(F140+SUM(E$99:E140)=D$92,F140,D$92-SUM(E$99:E140))</f>
        <v>57565</v>
      </c>
      <c r="E141" s="165">
        <f>IF(+J96&lt;F140,J96,D141)</f>
        <v>20787</v>
      </c>
      <c r="F141" s="163">
        <f t="shared" si="32"/>
        <v>36778</v>
      </c>
      <c r="G141" s="163">
        <f t="shared" si="33"/>
        <v>47171.5</v>
      </c>
      <c r="H141" s="167">
        <f t="shared" si="38"/>
        <v>25633.190790575962</v>
      </c>
      <c r="I141" s="312">
        <f t="shared" si="39"/>
        <v>25633.190790575962</v>
      </c>
      <c r="J141" s="162">
        <f t="shared" si="34"/>
        <v>0</v>
      </c>
      <c r="K141" s="162"/>
      <c r="L141" s="330"/>
      <c r="M141" s="162">
        <f t="shared" si="35"/>
        <v>0</v>
      </c>
      <c r="N141" s="330"/>
      <c r="O141" s="162">
        <f t="shared" si="36"/>
        <v>0</v>
      </c>
      <c r="P141" s="162">
        <f t="shared" si="37"/>
        <v>0</v>
      </c>
    </row>
    <row r="142" spans="2:16">
      <c r="B142" s="9" t="str">
        <f t="shared" si="24"/>
        <v/>
      </c>
      <c r="C142" s="157">
        <f>IF(D93="","-",+C141+1)</f>
        <v>2052</v>
      </c>
      <c r="D142" s="158">
        <f>IF(F141+SUM(E$99:E141)=D$92,F141,D$92-SUM(E$99:E141))</f>
        <v>36778</v>
      </c>
      <c r="E142" s="165">
        <f>IF(+J96&lt;F141,J96,D142)</f>
        <v>20787</v>
      </c>
      <c r="F142" s="163">
        <f t="shared" si="32"/>
        <v>15991</v>
      </c>
      <c r="G142" s="163">
        <f t="shared" si="33"/>
        <v>26384.5</v>
      </c>
      <c r="H142" s="167">
        <f t="shared" si="38"/>
        <v>23497.626562944817</v>
      </c>
      <c r="I142" s="312">
        <f t="shared" si="39"/>
        <v>23497.626562944817</v>
      </c>
      <c r="J142" s="162">
        <f t="shared" si="34"/>
        <v>0</v>
      </c>
      <c r="K142" s="162"/>
      <c r="L142" s="330"/>
      <c r="M142" s="162">
        <f t="shared" si="35"/>
        <v>0</v>
      </c>
      <c r="N142" s="330"/>
      <c r="O142" s="162">
        <f t="shared" si="36"/>
        <v>0</v>
      </c>
      <c r="P142" s="162">
        <f t="shared" si="37"/>
        <v>0</v>
      </c>
    </row>
    <row r="143" spans="2:16">
      <c r="B143" s="9" t="str">
        <f t="shared" si="24"/>
        <v/>
      </c>
      <c r="C143" s="157">
        <f>IF(D93="","-",+C142+1)</f>
        <v>2053</v>
      </c>
      <c r="D143" s="158">
        <f>IF(F142+SUM(E$99:E142)=D$92,F142,D$92-SUM(E$99:E142))</f>
        <v>15991</v>
      </c>
      <c r="E143" s="165">
        <f>IF(+J96&lt;F142,J96,D143)</f>
        <v>15991</v>
      </c>
      <c r="F143" s="163">
        <f t="shared" si="32"/>
        <v>0</v>
      </c>
      <c r="G143" s="163">
        <f t="shared" si="33"/>
        <v>7995.5</v>
      </c>
      <c r="H143" s="167">
        <f t="shared" si="38"/>
        <v>16812.422224564623</v>
      </c>
      <c r="I143" s="312">
        <f t="shared" si="39"/>
        <v>16812.422224564623</v>
      </c>
      <c r="J143" s="162">
        <f t="shared" si="34"/>
        <v>0</v>
      </c>
      <c r="K143" s="162"/>
      <c r="L143" s="330"/>
      <c r="M143" s="162">
        <f t="shared" si="35"/>
        <v>0</v>
      </c>
      <c r="N143" s="330"/>
      <c r="O143" s="162">
        <f t="shared" si="36"/>
        <v>0</v>
      </c>
      <c r="P143" s="162">
        <f t="shared" si="37"/>
        <v>0</v>
      </c>
    </row>
    <row r="144" spans="2:16">
      <c r="B144" s="9" t="str">
        <f t="shared" si="24"/>
        <v/>
      </c>
      <c r="C144" s="157">
        <f>IF(D93="","-",+C143+1)</f>
        <v>2054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2"/>
        <v>0</v>
      </c>
      <c r="G144" s="163">
        <f t="shared" si="33"/>
        <v>0</v>
      </c>
      <c r="H144" s="167">
        <f t="shared" si="38"/>
        <v>0</v>
      </c>
      <c r="I144" s="312">
        <f t="shared" si="39"/>
        <v>0</v>
      </c>
      <c r="J144" s="162">
        <f t="shared" si="34"/>
        <v>0</v>
      </c>
      <c r="K144" s="162"/>
      <c r="L144" s="330"/>
      <c r="M144" s="162">
        <f t="shared" si="35"/>
        <v>0</v>
      </c>
      <c r="N144" s="330"/>
      <c r="O144" s="162">
        <f t="shared" si="36"/>
        <v>0</v>
      </c>
      <c r="P144" s="162">
        <f t="shared" si="37"/>
        <v>0</v>
      </c>
    </row>
    <row r="145" spans="2:16">
      <c r="B145" s="9" t="str">
        <f t="shared" si="24"/>
        <v/>
      </c>
      <c r="C145" s="157">
        <f>IF(D93="","-",+C144+1)</f>
        <v>2055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2"/>
        <v>0</v>
      </c>
      <c r="G145" s="163">
        <f t="shared" si="33"/>
        <v>0</v>
      </c>
      <c r="H145" s="167">
        <f t="shared" si="38"/>
        <v>0</v>
      </c>
      <c r="I145" s="312">
        <f t="shared" si="39"/>
        <v>0</v>
      </c>
      <c r="J145" s="162">
        <f t="shared" si="34"/>
        <v>0</v>
      </c>
      <c r="K145" s="162"/>
      <c r="L145" s="330"/>
      <c r="M145" s="162">
        <f t="shared" si="35"/>
        <v>0</v>
      </c>
      <c r="N145" s="330"/>
      <c r="O145" s="162">
        <f t="shared" si="36"/>
        <v>0</v>
      </c>
      <c r="P145" s="162">
        <f t="shared" si="37"/>
        <v>0</v>
      </c>
    </row>
    <row r="146" spans="2:16">
      <c r="B146" s="9" t="str">
        <f t="shared" si="24"/>
        <v/>
      </c>
      <c r="C146" s="157">
        <f>IF(D93="","-",+C145+1)</f>
        <v>2056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2"/>
        <v>0</v>
      </c>
      <c r="G146" s="163">
        <f t="shared" si="33"/>
        <v>0</v>
      </c>
      <c r="H146" s="167">
        <f t="shared" si="38"/>
        <v>0</v>
      </c>
      <c r="I146" s="312">
        <f t="shared" si="39"/>
        <v>0</v>
      </c>
      <c r="J146" s="162">
        <f t="shared" si="34"/>
        <v>0</v>
      </c>
      <c r="K146" s="162"/>
      <c r="L146" s="330"/>
      <c r="M146" s="162">
        <f t="shared" si="35"/>
        <v>0</v>
      </c>
      <c r="N146" s="330"/>
      <c r="O146" s="162">
        <f t="shared" si="36"/>
        <v>0</v>
      </c>
      <c r="P146" s="162">
        <f t="shared" si="37"/>
        <v>0</v>
      </c>
    </row>
    <row r="147" spans="2:16">
      <c r="B147" s="9" t="str">
        <f t="shared" si="24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2"/>
        <v>0</v>
      </c>
      <c r="G147" s="163">
        <f t="shared" si="33"/>
        <v>0</v>
      </c>
      <c r="H147" s="167">
        <f t="shared" si="38"/>
        <v>0</v>
      </c>
      <c r="I147" s="312">
        <f t="shared" si="39"/>
        <v>0</v>
      </c>
      <c r="J147" s="162">
        <f t="shared" si="34"/>
        <v>0</v>
      </c>
      <c r="K147" s="162"/>
      <c r="L147" s="330"/>
      <c r="M147" s="162">
        <f t="shared" si="35"/>
        <v>0</v>
      </c>
      <c r="N147" s="330"/>
      <c r="O147" s="162">
        <f t="shared" si="36"/>
        <v>0</v>
      </c>
      <c r="P147" s="162">
        <f t="shared" si="37"/>
        <v>0</v>
      </c>
    </row>
    <row r="148" spans="2:16">
      <c r="B148" s="9" t="str">
        <f t="shared" si="24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2"/>
        <v>0</v>
      </c>
      <c r="G148" s="163">
        <f t="shared" si="33"/>
        <v>0</v>
      </c>
      <c r="H148" s="167">
        <f t="shared" si="38"/>
        <v>0</v>
      </c>
      <c r="I148" s="312">
        <f t="shared" si="39"/>
        <v>0</v>
      </c>
      <c r="J148" s="162">
        <f t="shared" si="34"/>
        <v>0</v>
      </c>
      <c r="K148" s="162"/>
      <c r="L148" s="330"/>
      <c r="M148" s="162">
        <f t="shared" si="35"/>
        <v>0</v>
      </c>
      <c r="N148" s="330"/>
      <c r="O148" s="162">
        <f t="shared" si="36"/>
        <v>0</v>
      </c>
      <c r="P148" s="162">
        <f t="shared" si="37"/>
        <v>0</v>
      </c>
    </row>
    <row r="149" spans="2:16">
      <c r="B149" s="9" t="str">
        <f t="shared" si="24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2"/>
        <v>0</v>
      </c>
      <c r="G149" s="163">
        <f t="shared" si="33"/>
        <v>0</v>
      </c>
      <c r="H149" s="167">
        <f t="shared" si="38"/>
        <v>0</v>
      </c>
      <c r="I149" s="312">
        <f t="shared" si="39"/>
        <v>0</v>
      </c>
      <c r="J149" s="162">
        <f t="shared" si="34"/>
        <v>0</v>
      </c>
      <c r="K149" s="162"/>
      <c r="L149" s="330"/>
      <c r="M149" s="162">
        <f t="shared" si="35"/>
        <v>0</v>
      </c>
      <c r="N149" s="330"/>
      <c r="O149" s="162">
        <f t="shared" si="36"/>
        <v>0</v>
      </c>
      <c r="P149" s="162">
        <f t="shared" si="37"/>
        <v>0</v>
      </c>
    </row>
    <row r="150" spans="2:16">
      <c r="B150" s="9" t="str">
        <f t="shared" si="24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2"/>
        <v>0</v>
      </c>
      <c r="G150" s="163">
        <f t="shared" si="33"/>
        <v>0</v>
      </c>
      <c r="H150" s="167">
        <f t="shared" si="38"/>
        <v>0</v>
      </c>
      <c r="I150" s="312">
        <f t="shared" si="39"/>
        <v>0</v>
      </c>
      <c r="J150" s="162">
        <f t="shared" si="34"/>
        <v>0</v>
      </c>
      <c r="K150" s="162"/>
      <c r="L150" s="330"/>
      <c r="M150" s="162">
        <f t="shared" si="35"/>
        <v>0</v>
      </c>
      <c r="N150" s="330"/>
      <c r="O150" s="162">
        <f t="shared" si="36"/>
        <v>0</v>
      </c>
      <c r="P150" s="162">
        <f t="shared" si="37"/>
        <v>0</v>
      </c>
    </row>
    <row r="151" spans="2:16">
      <c r="B151" s="9" t="str">
        <f t="shared" si="24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2"/>
        <v>0</v>
      </c>
      <c r="G151" s="163">
        <f t="shared" si="33"/>
        <v>0</v>
      </c>
      <c r="H151" s="167">
        <f t="shared" si="38"/>
        <v>0</v>
      </c>
      <c r="I151" s="312">
        <f t="shared" si="39"/>
        <v>0</v>
      </c>
      <c r="J151" s="162">
        <f t="shared" si="34"/>
        <v>0</v>
      </c>
      <c r="K151" s="162"/>
      <c r="L151" s="330"/>
      <c r="M151" s="162">
        <f t="shared" si="35"/>
        <v>0</v>
      </c>
      <c r="N151" s="330"/>
      <c r="O151" s="162">
        <f t="shared" si="36"/>
        <v>0</v>
      </c>
      <c r="P151" s="162">
        <f t="shared" si="37"/>
        <v>0</v>
      </c>
    </row>
    <row r="152" spans="2:16">
      <c r="B152" s="9" t="str">
        <f t="shared" si="24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2"/>
        <v>0</v>
      </c>
      <c r="G152" s="163">
        <f t="shared" si="33"/>
        <v>0</v>
      </c>
      <c r="H152" s="167">
        <f t="shared" si="38"/>
        <v>0</v>
      </c>
      <c r="I152" s="312">
        <f t="shared" si="39"/>
        <v>0</v>
      </c>
      <c r="J152" s="162">
        <f t="shared" si="34"/>
        <v>0</v>
      </c>
      <c r="K152" s="162"/>
      <c r="L152" s="330"/>
      <c r="M152" s="162">
        <f t="shared" si="35"/>
        <v>0</v>
      </c>
      <c r="N152" s="330"/>
      <c r="O152" s="162">
        <f t="shared" si="36"/>
        <v>0</v>
      </c>
      <c r="P152" s="162">
        <f t="shared" si="37"/>
        <v>0</v>
      </c>
    </row>
    <row r="153" spans="2:16">
      <c r="B153" s="9" t="str">
        <f t="shared" si="24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2"/>
        <v>0</v>
      </c>
      <c r="G153" s="163">
        <f t="shared" si="33"/>
        <v>0</v>
      </c>
      <c r="H153" s="167">
        <f t="shared" si="38"/>
        <v>0</v>
      </c>
      <c r="I153" s="312">
        <f t="shared" si="39"/>
        <v>0</v>
      </c>
      <c r="J153" s="162">
        <f t="shared" si="34"/>
        <v>0</v>
      </c>
      <c r="K153" s="162"/>
      <c r="L153" s="330"/>
      <c r="M153" s="162">
        <f t="shared" si="35"/>
        <v>0</v>
      </c>
      <c r="N153" s="330"/>
      <c r="O153" s="162">
        <f t="shared" si="36"/>
        <v>0</v>
      </c>
      <c r="P153" s="162">
        <f t="shared" si="37"/>
        <v>0</v>
      </c>
    </row>
    <row r="154" spans="2:16" ht="13.5" thickBot="1">
      <c r="B154" s="9" t="str">
        <f t="shared" si="24"/>
        <v/>
      </c>
      <c r="C154" s="168">
        <f>IF(D93="","-",+C153+1)</f>
        <v>2064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32"/>
        <v>0</v>
      </c>
      <c r="G154" s="169">
        <f t="shared" si="33"/>
        <v>0</v>
      </c>
      <c r="H154" s="171">
        <f t="shared" si="38"/>
        <v>0</v>
      </c>
      <c r="I154" s="313">
        <f t="shared" si="39"/>
        <v>0</v>
      </c>
      <c r="J154" s="173">
        <f t="shared" si="34"/>
        <v>0</v>
      </c>
      <c r="K154" s="162"/>
      <c r="L154" s="331"/>
      <c r="M154" s="173">
        <f t="shared" si="35"/>
        <v>0</v>
      </c>
      <c r="N154" s="331"/>
      <c r="O154" s="173">
        <f t="shared" si="36"/>
        <v>0</v>
      </c>
      <c r="P154" s="173">
        <f t="shared" si="37"/>
        <v>0</v>
      </c>
    </row>
    <row r="155" spans="2:16">
      <c r="C155" s="158" t="s">
        <v>77</v>
      </c>
      <c r="D155" s="115"/>
      <c r="E155" s="115">
        <f>SUM(E99:E154)</f>
        <v>893858</v>
      </c>
      <c r="F155" s="115"/>
      <c r="G155" s="115"/>
      <c r="H155" s="115">
        <f>SUM(H99:H154)</f>
        <v>3242958.7732684496</v>
      </c>
      <c r="I155" s="115">
        <f>SUM(I99:I154)</f>
        <v>3242958.7732684496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100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107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78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79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43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view="pageBreakPreview" zoomScale="75" zoomScaleNormal="100" workbookViewId="0">
      <selection activeCell="D26" sqref="D26:H2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2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616009.3144662733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616009.3144662733</v>
      </c>
      <c r="O6" s="1"/>
      <c r="P6" s="1"/>
    </row>
    <row r="7" spans="1:16" ht="13.5" thickBot="1">
      <c r="C7" s="127" t="s">
        <v>46</v>
      </c>
      <c r="D7" s="338" t="s">
        <v>210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80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4688896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2009</v>
      </c>
      <c r="E11" s="141" t="s">
        <v>54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5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104197.68888888889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C17" s="157">
        <f>IF(D11= "","-",D11)</f>
        <v>2009</v>
      </c>
      <c r="D17" s="361">
        <v>6704177</v>
      </c>
      <c r="E17" s="362">
        <v>73788</v>
      </c>
      <c r="F17" s="361">
        <v>6630389</v>
      </c>
      <c r="G17" s="362">
        <v>750999</v>
      </c>
      <c r="H17" s="362">
        <v>750999</v>
      </c>
      <c r="I17" s="160">
        <f t="shared" ref="I17:I48" si="0">H17-G17</f>
        <v>0</v>
      </c>
      <c r="J17" s="160"/>
      <c r="K17" s="333">
        <v>750999</v>
      </c>
      <c r="L17" s="161">
        <f t="shared" ref="L17:L48" si="1">IF(K17&lt;&gt;0,+G17-K17,0)</f>
        <v>0</v>
      </c>
      <c r="M17" s="333">
        <v>750999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66">
        <v>4651603</v>
      </c>
      <c r="E18" s="363">
        <v>84382</v>
      </c>
      <c r="F18" s="366">
        <v>4567221</v>
      </c>
      <c r="G18" s="363">
        <v>743416</v>
      </c>
      <c r="H18" s="365">
        <v>743416</v>
      </c>
      <c r="I18" s="160">
        <f t="shared" si="0"/>
        <v>0</v>
      </c>
      <c r="J18" s="160"/>
      <c r="K18" s="333">
        <f t="shared" ref="K18:K23" si="4">G18</f>
        <v>743416</v>
      </c>
      <c r="L18" s="269">
        <f t="shared" si="1"/>
        <v>0</v>
      </c>
      <c r="M18" s="333">
        <f t="shared" ref="M18:M23" si="5">H18</f>
        <v>743416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2011</v>
      </c>
      <c r="D19" s="366">
        <v>4530726</v>
      </c>
      <c r="E19" s="363">
        <v>91939.137254901958</v>
      </c>
      <c r="F19" s="366">
        <v>4438786.8627450978</v>
      </c>
      <c r="G19" s="363">
        <v>786801.66702531651</v>
      </c>
      <c r="H19" s="365">
        <v>786801.66702531651</v>
      </c>
      <c r="I19" s="160">
        <f t="shared" si="0"/>
        <v>0</v>
      </c>
      <c r="J19" s="160"/>
      <c r="K19" s="333">
        <f t="shared" si="4"/>
        <v>786801.66702531651</v>
      </c>
      <c r="L19" s="269">
        <f t="shared" si="1"/>
        <v>0</v>
      </c>
      <c r="M19" s="333">
        <f t="shared" si="5"/>
        <v>786801.66702531651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2012</v>
      </c>
      <c r="D20" s="366">
        <v>4438786.8627450978</v>
      </c>
      <c r="E20" s="363">
        <v>90171.076923076922</v>
      </c>
      <c r="F20" s="366">
        <v>4348615.7858220208</v>
      </c>
      <c r="G20" s="363">
        <v>695527.67751323315</v>
      </c>
      <c r="H20" s="365">
        <v>695527.67751323315</v>
      </c>
      <c r="I20" s="160">
        <f t="shared" si="0"/>
        <v>0</v>
      </c>
      <c r="J20" s="160"/>
      <c r="K20" s="333">
        <f t="shared" si="4"/>
        <v>695527.67751323315</v>
      </c>
      <c r="L20" s="269">
        <f t="shared" si="1"/>
        <v>0</v>
      </c>
      <c r="M20" s="333">
        <f t="shared" si="5"/>
        <v>695527.67751323315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2013</v>
      </c>
      <c r="D21" s="366">
        <v>4348615.7858220208</v>
      </c>
      <c r="E21" s="363">
        <v>90171.076923076922</v>
      </c>
      <c r="F21" s="366">
        <v>4258444.7088989438</v>
      </c>
      <c r="G21" s="363">
        <v>698305.7699783385</v>
      </c>
      <c r="H21" s="365">
        <v>698305.7699783385</v>
      </c>
      <c r="I21" s="160">
        <v>0</v>
      </c>
      <c r="J21" s="160"/>
      <c r="K21" s="333">
        <f t="shared" si="4"/>
        <v>698305.7699783385</v>
      </c>
      <c r="L21" s="269">
        <f t="shared" ref="L21:L26" si="7">IF(K21&lt;&gt;0,+G21-K21,0)</f>
        <v>0</v>
      </c>
      <c r="M21" s="333">
        <f t="shared" si="5"/>
        <v>698305.7699783385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66">
        <v>4258444.7088989438</v>
      </c>
      <c r="E22" s="363">
        <v>90171.076923076922</v>
      </c>
      <c r="F22" s="366">
        <v>4168273.6319758669</v>
      </c>
      <c r="G22" s="363">
        <v>663970.48849892756</v>
      </c>
      <c r="H22" s="365">
        <v>663970.48849892756</v>
      </c>
      <c r="I22" s="160">
        <v>0</v>
      </c>
      <c r="J22" s="160"/>
      <c r="K22" s="333">
        <f t="shared" si="4"/>
        <v>663970.48849892756</v>
      </c>
      <c r="L22" s="269">
        <f t="shared" si="7"/>
        <v>0</v>
      </c>
      <c r="M22" s="333">
        <f t="shared" si="5"/>
        <v>663970.48849892756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66">
        <v>4168273.6319758669</v>
      </c>
      <c r="E23" s="363">
        <v>90171.076923076922</v>
      </c>
      <c r="F23" s="366">
        <v>4078102.5550527899</v>
      </c>
      <c r="G23" s="363">
        <v>652425.83265151177</v>
      </c>
      <c r="H23" s="365">
        <v>652425.83265151177</v>
      </c>
      <c r="I23" s="160">
        <v>0</v>
      </c>
      <c r="J23" s="160"/>
      <c r="K23" s="333">
        <f t="shared" si="4"/>
        <v>652425.83265151177</v>
      </c>
      <c r="L23" s="269">
        <f t="shared" si="7"/>
        <v>0</v>
      </c>
      <c r="M23" s="333">
        <f t="shared" si="5"/>
        <v>652425.83265151177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66">
        <v>4078102.5550527899</v>
      </c>
      <c r="E24" s="363">
        <v>90171.076923076922</v>
      </c>
      <c r="F24" s="366">
        <v>3987931.4781297129</v>
      </c>
      <c r="G24" s="363">
        <v>613226.71011811122</v>
      </c>
      <c r="H24" s="365">
        <v>613226.71011811122</v>
      </c>
      <c r="I24" s="160">
        <f t="shared" si="0"/>
        <v>0</v>
      </c>
      <c r="J24" s="160"/>
      <c r="K24" s="333">
        <f>G24</f>
        <v>613226.71011811122</v>
      </c>
      <c r="L24" s="269">
        <f t="shared" si="7"/>
        <v>0</v>
      </c>
      <c r="M24" s="333">
        <f>H24</f>
        <v>613226.71011811122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66">
        <v>3987931.4781297129</v>
      </c>
      <c r="E25" s="363">
        <v>101932.52173913043</v>
      </c>
      <c r="F25" s="366">
        <v>3885998.9563905825</v>
      </c>
      <c r="G25" s="363">
        <v>596467.29312714399</v>
      </c>
      <c r="H25" s="365">
        <v>596467.29312714399</v>
      </c>
      <c r="I25" s="160">
        <f t="shared" si="0"/>
        <v>0</v>
      </c>
      <c r="J25" s="373"/>
      <c r="K25" s="333">
        <f>G25</f>
        <v>596467.29312714399</v>
      </c>
      <c r="L25" s="269">
        <f t="shared" si="7"/>
        <v>0</v>
      </c>
      <c r="M25" s="333">
        <f>H25</f>
        <v>596467.29312714399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66">
        <v>3885998.9563905825</v>
      </c>
      <c r="E26" s="363">
        <v>104197.68888888889</v>
      </c>
      <c r="F26" s="366">
        <v>3781801.2675016937</v>
      </c>
      <c r="G26" s="363">
        <v>616009.3144662733</v>
      </c>
      <c r="H26" s="365">
        <v>616009.3144662733</v>
      </c>
      <c r="I26" s="160">
        <f t="shared" si="0"/>
        <v>0</v>
      </c>
      <c r="J26" s="373"/>
      <c r="K26" s="333">
        <f>G26</f>
        <v>616009.3144662733</v>
      </c>
      <c r="L26" s="269">
        <f t="shared" si="7"/>
        <v>0</v>
      </c>
      <c r="M26" s="333">
        <f>H26</f>
        <v>616009.3144662733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3">
        <f>IF(F26+SUM(E$17:E26)=D$10,F26,D$10-SUM(E$17:E26))</f>
        <v>3781801.2675016937</v>
      </c>
      <c r="E27" s="164">
        <f>IF(+I14&lt;F26,I14,D27)</f>
        <v>104197.68888888889</v>
      </c>
      <c r="F27" s="163">
        <f t="shared" ref="F27:F48" si="10">+D27-E27</f>
        <v>3677603.5786128049</v>
      </c>
      <c r="G27" s="165">
        <f t="shared" ref="G27:G72" si="11">+I$12*F27+E27</f>
        <v>601907.67750562495</v>
      </c>
      <c r="H27" s="147">
        <f t="shared" ref="H27:H72" si="12">+I$13*F27+E27</f>
        <v>601907.67750562495</v>
      </c>
      <c r="I27" s="160">
        <f t="shared" si="0"/>
        <v>0</v>
      </c>
      <c r="J27" s="374"/>
      <c r="K27" s="330"/>
      <c r="L27" s="162">
        <f t="shared" si="1"/>
        <v>0</v>
      </c>
      <c r="M27" s="330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3">
        <f>IF(F27+SUM(E$17:E27)=D$10,F27,D$10-SUM(E$17:E27))</f>
        <v>3677603.5786128049</v>
      </c>
      <c r="E28" s="164">
        <f>IF(+I14&lt;F27,I14,D28)</f>
        <v>104197.68888888889</v>
      </c>
      <c r="F28" s="163">
        <f t="shared" si="10"/>
        <v>3573405.8897239161</v>
      </c>
      <c r="G28" s="165">
        <f t="shared" si="11"/>
        <v>587806.0405449766</v>
      </c>
      <c r="H28" s="147">
        <f t="shared" si="12"/>
        <v>587806.0405449766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3">
        <f>IF(F28+SUM(E$17:E28)=D$10,F28,D$10-SUM(E$17:E28))</f>
        <v>3573405.8897239161</v>
      </c>
      <c r="E29" s="164">
        <f>IF(+I14&lt;F28,I14,D29)</f>
        <v>104197.68888888889</v>
      </c>
      <c r="F29" s="163">
        <f t="shared" si="10"/>
        <v>3469208.2008350273</v>
      </c>
      <c r="G29" s="165">
        <f t="shared" si="11"/>
        <v>573704.40358432813</v>
      </c>
      <c r="H29" s="147">
        <f t="shared" si="12"/>
        <v>573704.40358432813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3">
        <f>IF(F29+SUM(E$17:E29)=D$10,F29,D$10-SUM(E$17:E29))</f>
        <v>3469208.2008350273</v>
      </c>
      <c r="E30" s="164">
        <f>IF(+I14&lt;F29,I14,D30)</f>
        <v>104197.68888888889</v>
      </c>
      <c r="F30" s="163">
        <f t="shared" si="10"/>
        <v>3365010.5119461385</v>
      </c>
      <c r="G30" s="165">
        <f t="shared" si="11"/>
        <v>559602.76662367978</v>
      </c>
      <c r="H30" s="147">
        <f t="shared" si="12"/>
        <v>559602.76662367978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3">
        <f>IF(F30+SUM(E$17:E30)=D$10,F30,D$10-SUM(E$17:E30))</f>
        <v>3365010.5119461385</v>
      </c>
      <c r="E31" s="164">
        <f>IF(+I14&lt;F30,I14,D31)</f>
        <v>104197.68888888889</v>
      </c>
      <c r="F31" s="163">
        <f t="shared" si="10"/>
        <v>3260812.8230572497</v>
      </c>
      <c r="G31" s="165">
        <f t="shared" si="11"/>
        <v>545501.12966303143</v>
      </c>
      <c r="H31" s="147">
        <f t="shared" si="12"/>
        <v>545501.12966303143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3">
        <f>IF(F31+SUM(E$17:E31)=D$10,F31,D$10-SUM(E$17:E31))</f>
        <v>3260812.8230572497</v>
      </c>
      <c r="E32" s="164">
        <f>IF(+I14&lt;F31,I14,D32)</f>
        <v>104197.68888888889</v>
      </c>
      <c r="F32" s="163">
        <f t="shared" si="10"/>
        <v>3156615.1341683608</v>
      </c>
      <c r="G32" s="165">
        <f t="shared" si="11"/>
        <v>531399.49270238308</v>
      </c>
      <c r="H32" s="147">
        <f t="shared" si="12"/>
        <v>531399.49270238308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3">
        <f>IF(F32+SUM(E$17:E32)=D$10,F32,D$10-SUM(E$17:E32))</f>
        <v>3156615.1341683608</v>
      </c>
      <c r="E33" s="164">
        <f>IF(+I14&lt;F32,I14,D33)</f>
        <v>104197.68888888889</v>
      </c>
      <c r="F33" s="163">
        <f t="shared" si="10"/>
        <v>3052417.445279472</v>
      </c>
      <c r="G33" s="165">
        <f t="shared" si="11"/>
        <v>517297.85574173473</v>
      </c>
      <c r="H33" s="147">
        <f t="shared" si="12"/>
        <v>517297.85574173473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3">
        <f>IF(F33+SUM(E$17:E33)=D$10,F33,D$10-SUM(E$17:E33))</f>
        <v>3052417.445279472</v>
      </c>
      <c r="E34" s="164">
        <f>IF(+I14&lt;F33,I14,D34)</f>
        <v>104197.68888888889</v>
      </c>
      <c r="F34" s="163">
        <f t="shared" si="10"/>
        <v>2948219.7563905832</v>
      </c>
      <c r="G34" s="165">
        <f t="shared" si="11"/>
        <v>503196.21878108627</v>
      </c>
      <c r="H34" s="147">
        <f t="shared" si="12"/>
        <v>503196.21878108627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3">
        <f>IF(F34+SUM(E$17:E34)=D$10,F34,D$10-SUM(E$17:E34))</f>
        <v>2948219.7563905832</v>
      </c>
      <c r="E35" s="164">
        <f>IF(+I14&lt;F34,I14,D35)</f>
        <v>104197.68888888889</v>
      </c>
      <c r="F35" s="163">
        <f t="shared" si="10"/>
        <v>2844022.0675016944</v>
      </c>
      <c r="G35" s="165">
        <f t="shared" si="11"/>
        <v>489094.58182043792</v>
      </c>
      <c r="H35" s="147">
        <f t="shared" si="12"/>
        <v>489094.58182043792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3">
        <f>IF(F35+SUM(E$17:E35)=D$10,F35,D$10-SUM(E$17:E35))</f>
        <v>2844022.0675016944</v>
      </c>
      <c r="E36" s="164">
        <f>IF(+I14&lt;F35,I14,D36)</f>
        <v>104197.68888888889</v>
      </c>
      <c r="F36" s="163">
        <f t="shared" si="10"/>
        <v>2739824.3786128056</v>
      </c>
      <c r="G36" s="165">
        <f t="shared" si="11"/>
        <v>474992.94485978957</v>
      </c>
      <c r="H36" s="147">
        <f t="shared" si="12"/>
        <v>474992.94485978957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3">
        <f>IF(F36+SUM(E$17:E36)=D$10,F36,D$10-SUM(E$17:E36))</f>
        <v>2739824.3786128056</v>
      </c>
      <c r="E37" s="164">
        <f>IF(+I14&lt;F36,I14,D37)</f>
        <v>104197.68888888889</v>
      </c>
      <c r="F37" s="163">
        <f t="shared" si="10"/>
        <v>2635626.6897239168</v>
      </c>
      <c r="G37" s="165">
        <f t="shared" si="11"/>
        <v>460891.30789914122</v>
      </c>
      <c r="H37" s="147">
        <f t="shared" si="12"/>
        <v>460891.30789914122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3">
        <f>IF(F37+SUM(E$17:E37)=D$10,F37,D$10-SUM(E$17:E37))</f>
        <v>2635626.6897239168</v>
      </c>
      <c r="E38" s="164">
        <f>IF(+I14&lt;F37,I14,D38)</f>
        <v>104197.68888888889</v>
      </c>
      <c r="F38" s="163">
        <f t="shared" si="10"/>
        <v>2531429.000835028</v>
      </c>
      <c r="G38" s="165">
        <f t="shared" si="11"/>
        <v>446789.67093849287</v>
      </c>
      <c r="H38" s="147">
        <f t="shared" si="12"/>
        <v>446789.67093849287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3">
        <f>IF(F38+SUM(E$17:E38)=D$10,F38,D$10-SUM(E$17:E38))</f>
        <v>2531429.000835028</v>
      </c>
      <c r="E39" s="164">
        <f>IF(+I14&lt;F38,I14,D39)</f>
        <v>104197.68888888889</v>
      </c>
      <c r="F39" s="163">
        <f t="shared" si="10"/>
        <v>2427231.3119461392</v>
      </c>
      <c r="G39" s="165">
        <f t="shared" si="11"/>
        <v>432688.03397784452</v>
      </c>
      <c r="H39" s="147">
        <f t="shared" si="12"/>
        <v>432688.03397784452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3">
        <f>IF(F39+SUM(E$17:E39)=D$10,F39,D$10-SUM(E$17:E39))</f>
        <v>2427231.3119461392</v>
      </c>
      <c r="E40" s="164">
        <f>IF(+I14&lt;F39,I14,D40)</f>
        <v>104197.68888888889</v>
      </c>
      <c r="F40" s="163">
        <f t="shared" si="10"/>
        <v>2323033.6230572504</v>
      </c>
      <c r="G40" s="165">
        <f t="shared" si="11"/>
        <v>418586.39701719605</v>
      </c>
      <c r="H40" s="147">
        <f t="shared" si="12"/>
        <v>418586.39701719605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3">
        <f>IF(F40+SUM(E$17:E40)=D$10,F40,D$10-SUM(E$17:E40))</f>
        <v>2323033.6230572504</v>
      </c>
      <c r="E41" s="164">
        <f>IF(+I14&lt;F40,I14,D41)</f>
        <v>104197.68888888889</v>
      </c>
      <c r="F41" s="163">
        <f t="shared" si="10"/>
        <v>2218835.9341683616</v>
      </c>
      <c r="G41" s="165">
        <f t="shared" si="11"/>
        <v>404484.7600565477</v>
      </c>
      <c r="H41" s="147">
        <f t="shared" si="12"/>
        <v>404484.7600565477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3">
        <f>IF(F41+SUM(E$17:E41)=D$10,F41,D$10-SUM(E$17:E41))</f>
        <v>2218835.9341683616</v>
      </c>
      <c r="E42" s="164">
        <f>IF(+I14&lt;F41,I14,D42)</f>
        <v>104197.68888888889</v>
      </c>
      <c r="F42" s="163">
        <f t="shared" si="10"/>
        <v>2114638.2452794728</v>
      </c>
      <c r="G42" s="165">
        <f t="shared" si="11"/>
        <v>390383.12309589935</v>
      </c>
      <c r="H42" s="147">
        <f t="shared" si="12"/>
        <v>390383.12309589935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3">
        <f>IF(F42+SUM(E$17:E42)=D$10,F42,D$10-SUM(E$17:E42))</f>
        <v>2114638.2452794728</v>
      </c>
      <c r="E43" s="164">
        <f>IF(+I14&lt;F42,I14,D43)</f>
        <v>104197.68888888889</v>
      </c>
      <c r="F43" s="163">
        <f t="shared" si="10"/>
        <v>2010440.556390584</v>
      </c>
      <c r="G43" s="165">
        <f t="shared" si="11"/>
        <v>376281.48613525101</v>
      </c>
      <c r="H43" s="147">
        <f t="shared" si="12"/>
        <v>376281.48613525101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3">
        <f>IF(F43+SUM(E$17:E43)=D$10,F43,D$10-SUM(E$17:E43))</f>
        <v>2010440.556390584</v>
      </c>
      <c r="E44" s="164">
        <f>IF(+I14&lt;F43,I14,D44)</f>
        <v>104197.68888888889</v>
      </c>
      <c r="F44" s="163">
        <f t="shared" si="10"/>
        <v>1906242.8675016952</v>
      </c>
      <c r="G44" s="165">
        <f t="shared" si="11"/>
        <v>362179.8491746026</v>
      </c>
      <c r="H44" s="147">
        <f t="shared" si="12"/>
        <v>362179.8491746026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3">
        <f>IF(F44+SUM(E$17:E44)=D$10,F44,D$10-SUM(E$17:E44))</f>
        <v>1906242.8675016952</v>
      </c>
      <c r="E45" s="164">
        <f>IF(+I14&lt;F44,I14,D45)</f>
        <v>104197.68888888889</v>
      </c>
      <c r="F45" s="163">
        <f t="shared" si="10"/>
        <v>1802045.1786128064</v>
      </c>
      <c r="G45" s="165">
        <f t="shared" si="11"/>
        <v>348078.21221395419</v>
      </c>
      <c r="H45" s="147">
        <f t="shared" si="12"/>
        <v>348078.21221395419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3">
        <f>IF(F45+SUM(E$17:E45)=D$10,F45,D$10-SUM(E$17:E45))</f>
        <v>1802045.1786128064</v>
      </c>
      <c r="E46" s="164">
        <f>IF(+I14&lt;F45,I14,D46)</f>
        <v>104197.68888888889</v>
      </c>
      <c r="F46" s="163">
        <f t="shared" si="10"/>
        <v>1697847.4897239176</v>
      </c>
      <c r="G46" s="165">
        <f t="shared" si="11"/>
        <v>333976.57525330584</v>
      </c>
      <c r="H46" s="147">
        <f t="shared" si="12"/>
        <v>333976.57525330584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3">
        <f>IF(F46+SUM(E$17:E46)=D$10,F46,D$10-SUM(E$17:E46))</f>
        <v>1697847.4897239176</v>
      </c>
      <c r="E47" s="164">
        <f>IF(+I14&lt;F46,I14,D47)</f>
        <v>104197.68888888889</v>
      </c>
      <c r="F47" s="163">
        <f t="shared" si="10"/>
        <v>1593649.8008350288</v>
      </c>
      <c r="G47" s="165">
        <f t="shared" si="11"/>
        <v>319874.93829265749</v>
      </c>
      <c r="H47" s="147">
        <f t="shared" si="12"/>
        <v>319874.93829265749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3">
        <f>IF(F47+SUM(E$17:E47)=D$10,F47,D$10-SUM(E$17:E47))</f>
        <v>1593649.8008350288</v>
      </c>
      <c r="E48" s="164">
        <f>IF(+I14&lt;F47,I14,D48)</f>
        <v>104197.68888888889</v>
      </c>
      <c r="F48" s="163">
        <f t="shared" si="10"/>
        <v>1489452.11194614</v>
      </c>
      <c r="G48" s="165">
        <f t="shared" si="11"/>
        <v>305773.30133200914</v>
      </c>
      <c r="H48" s="147">
        <f t="shared" si="12"/>
        <v>305773.30133200914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3">
        <f>IF(F48+SUM(E$17:E48)=D$10,F48,D$10-SUM(E$17:E48))</f>
        <v>1489452.11194614</v>
      </c>
      <c r="E49" s="164">
        <f>IF(+I14&lt;F48,I14,D49)</f>
        <v>104197.68888888889</v>
      </c>
      <c r="F49" s="163">
        <f t="shared" ref="F49:F72" si="13">+D49-E49</f>
        <v>1385254.4230572511</v>
      </c>
      <c r="G49" s="165">
        <f t="shared" si="11"/>
        <v>291671.66437136073</v>
      </c>
      <c r="H49" s="147">
        <f t="shared" si="12"/>
        <v>291671.66437136073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3">
        <f>IF(F49+SUM(E$17:E49)=D$10,F49,D$10-SUM(E$17:E49))</f>
        <v>1385254.4230572511</v>
      </c>
      <c r="E50" s="164">
        <f>IF(+I14&lt;F49,I14,D50)</f>
        <v>104197.68888888889</v>
      </c>
      <c r="F50" s="163">
        <f t="shared" si="13"/>
        <v>1281056.7341683623</v>
      </c>
      <c r="G50" s="165">
        <f t="shared" si="11"/>
        <v>277570.02741071238</v>
      </c>
      <c r="H50" s="147">
        <f t="shared" si="12"/>
        <v>277570.02741071238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3">
        <f>IF(F50+SUM(E$17:E50)=D$10,F50,D$10-SUM(E$17:E50))</f>
        <v>1281056.7341683623</v>
      </c>
      <c r="E51" s="164">
        <f>IF(+I14&lt;F50,I14,D51)</f>
        <v>104197.68888888889</v>
      </c>
      <c r="F51" s="163">
        <f t="shared" si="13"/>
        <v>1176859.0452794735</v>
      </c>
      <c r="G51" s="165">
        <f t="shared" si="11"/>
        <v>263468.39045006398</v>
      </c>
      <c r="H51" s="147">
        <f t="shared" si="12"/>
        <v>263468.39045006398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3">
        <f>IF(F51+SUM(E$17:E51)=D$10,F51,D$10-SUM(E$17:E51))</f>
        <v>1176859.0452794735</v>
      </c>
      <c r="E52" s="164">
        <f>IF(+I14&lt;F51,I14,D52)</f>
        <v>104197.68888888889</v>
      </c>
      <c r="F52" s="163">
        <f t="shared" si="13"/>
        <v>1072661.3563905847</v>
      </c>
      <c r="G52" s="165">
        <f t="shared" si="11"/>
        <v>249366.75348941563</v>
      </c>
      <c r="H52" s="147">
        <f t="shared" si="12"/>
        <v>249366.75348941563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3">
        <f>IF(F52+SUM(E$17:E52)=D$10,F52,D$10-SUM(E$17:E52))</f>
        <v>1072661.3563905847</v>
      </c>
      <c r="E53" s="164">
        <f>IF(+I14&lt;F52,I14,D53)</f>
        <v>104197.68888888889</v>
      </c>
      <c r="F53" s="163">
        <f t="shared" si="13"/>
        <v>968463.6675016958</v>
      </c>
      <c r="G53" s="165">
        <f t="shared" si="11"/>
        <v>235265.11652876722</v>
      </c>
      <c r="H53" s="147">
        <f t="shared" si="12"/>
        <v>235265.11652876722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3">
        <f>IF(F53+SUM(E$17:E53)=D$10,F53,D$10-SUM(E$17:E53))</f>
        <v>968463.6675016958</v>
      </c>
      <c r="E54" s="164">
        <f>IF(+I14&lt;F53,I14,D54)</f>
        <v>104197.68888888889</v>
      </c>
      <c r="F54" s="163">
        <f t="shared" si="13"/>
        <v>864265.97861280688</v>
      </c>
      <c r="G54" s="165">
        <f t="shared" si="11"/>
        <v>221163.47956811887</v>
      </c>
      <c r="H54" s="147">
        <f t="shared" si="12"/>
        <v>221163.47956811887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3">
        <f>IF(F54+SUM(E$17:E54)=D$10,F54,D$10-SUM(E$17:E54))</f>
        <v>864265.97861280688</v>
      </c>
      <c r="E55" s="164">
        <f>IF(+I14&lt;F54,I14,D55)</f>
        <v>104197.68888888889</v>
      </c>
      <c r="F55" s="163">
        <f t="shared" si="13"/>
        <v>760068.28972391796</v>
      </c>
      <c r="G55" s="165">
        <f t="shared" si="11"/>
        <v>207061.84260747046</v>
      </c>
      <c r="H55" s="147">
        <f t="shared" si="12"/>
        <v>207061.84260747046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3">
        <f>IF(F55+SUM(E$17:E55)=D$10,F55,D$10-SUM(E$17:E55))</f>
        <v>760068.28972391796</v>
      </c>
      <c r="E56" s="164">
        <f>IF(+I14&lt;F55,I14,D56)</f>
        <v>104197.68888888889</v>
      </c>
      <c r="F56" s="163">
        <f t="shared" si="13"/>
        <v>655870.60083502904</v>
      </c>
      <c r="G56" s="165">
        <f t="shared" si="11"/>
        <v>192960.20564682205</v>
      </c>
      <c r="H56" s="147">
        <f t="shared" si="12"/>
        <v>192960.20564682205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3">
        <f>IF(F56+SUM(E$17:E56)=D$10,F56,D$10-SUM(E$17:E56))</f>
        <v>655870.60083502904</v>
      </c>
      <c r="E57" s="164">
        <f>IF(+I14&lt;F56,I14,D57)</f>
        <v>104197.68888888889</v>
      </c>
      <c r="F57" s="163">
        <f t="shared" si="13"/>
        <v>551672.91194614011</v>
      </c>
      <c r="G57" s="165">
        <f t="shared" si="11"/>
        <v>178858.5686861737</v>
      </c>
      <c r="H57" s="147">
        <f t="shared" si="12"/>
        <v>178858.5686861737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3">
        <f>IF(F57+SUM(E$17:E57)=D$10,F57,D$10-SUM(E$17:E57))</f>
        <v>551672.91194614011</v>
      </c>
      <c r="E58" s="164">
        <f>IF(+I14&lt;F57,I14,D58)</f>
        <v>104197.68888888889</v>
      </c>
      <c r="F58" s="163">
        <f t="shared" si="13"/>
        <v>447475.22305725119</v>
      </c>
      <c r="G58" s="165">
        <f t="shared" si="11"/>
        <v>164756.9317255253</v>
      </c>
      <c r="H58" s="147">
        <f t="shared" si="12"/>
        <v>164756.9317255253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3">
        <f>IF(F58+SUM(E$17:E58)=D$10,F58,D$10-SUM(E$17:E58))</f>
        <v>447475.22305725119</v>
      </c>
      <c r="E59" s="164">
        <f>IF(+I14&lt;F58,I14,D59)</f>
        <v>104197.68888888889</v>
      </c>
      <c r="F59" s="163">
        <f t="shared" si="13"/>
        <v>343277.53416836227</v>
      </c>
      <c r="G59" s="165">
        <f t="shared" si="11"/>
        <v>150655.29476487692</v>
      </c>
      <c r="H59" s="147">
        <f t="shared" si="12"/>
        <v>150655.29476487692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3">
        <f>IF(F59+SUM(E$17:E59)=D$10,F59,D$10-SUM(E$17:E59))</f>
        <v>343277.53416836227</v>
      </c>
      <c r="E60" s="164">
        <f>IF(+I14&lt;F59,I14,D60)</f>
        <v>104197.68888888889</v>
      </c>
      <c r="F60" s="163">
        <f t="shared" si="13"/>
        <v>239079.84527947337</v>
      </c>
      <c r="G60" s="165">
        <f t="shared" si="11"/>
        <v>136553.65780422854</v>
      </c>
      <c r="H60" s="147">
        <f t="shared" si="12"/>
        <v>136553.65780422854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3">
        <f>IF(F60+SUM(E$17:E60)=D$10,F60,D$10-SUM(E$17:E60))</f>
        <v>239079.84527947337</v>
      </c>
      <c r="E61" s="164">
        <f>IF(+I14&lt;F60,I14,D61)</f>
        <v>104197.68888888889</v>
      </c>
      <c r="F61" s="163">
        <f t="shared" si="13"/>
        <v>134882.15639058448</v>
      </c>
      <c r="G61" s="167">
        <f t="shared" si="11"/>
        <v>122452.02084358015</v>
      </c>
      <c r="H61" s="147">
        <f t="shared" si="12"/>
        <v>122452.02084358015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3">
        <f>IF(F61+SUM(E$17:E61)=D$10,F61,D$10-SUM(E$17:E61))</f>
        <v>134882.15639058448</v>
      </c>
      <c r="E62" s="164">
        <f>IF(+I14&lt;F61,I14,D62)</f>
        <v>104197.68888888889</v>
      </c>
      <c r="F62" s="163">
        <f t="shared" si="13"/>
        <v>30684.467501695588</v>
      </c>
      <c r="G62" s="167">
        <f t="shared" si="11"/>
        <v>108350.38388293175</v>
      </c>
      <c r="H62" s="147">
        <f t="shared" si="12"/>
        <v>108350.38388293175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3">
        <f>IF(F62+SUM(E$17:E62)=D$10,F62,D$10-SUM(E$17:E62))</f>
        <v>30684.467501695588</v>
      </c>
      <c r="E63" s="164">
        <f>IF(+I14&lt;F62,I14,D63)</f>
        <v>30684.467501695588</v>
      </c>
      <c r="F63" s="163">
        <f t="shared" si="13"/>
        <v>0</v>
      </c>
      <c r="G63" s="167">
        <f t="shared" si="11"/>
        <v>30684.467501695588</v>
      </c>
      <c r="H63" s="147">
        <f t="shared" si="12"/>
        <v>30684.467501695588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7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6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1"/>
        <v>0</v>
      </c>
      <c r="H72" s="130">
        <f t="shared" si="12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4688895.9999999991</v>
      </c>
      <c r="F73" s="115"/>
      <c r="G73" s="115">
        <f>SUM(G17:G72)</f>
        <v>19632479.325874574</v>
      </c>
      <c r="H73" s="115">
        <f>SUM(H17:H72)</f>
        <v>19632479.325874574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2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616009.3144662733</v>
      </c>
      <c r="N87" s="202">
        <f>IF(J92&lt;D11,0,VLOOKUP(J92,C17:O72,11))</f>
        <v>616009.3144662733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503393.56302800257</v>
      </c>
      <c r="N88" s="204">
        <f>IF(J92&lt;D11,0,VLOOKUP(J92,C99:P154,7))</f>
        <v>503393.56302800257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Craig Jct. to Broken Bow Dam 138 Rebuild (7.7mi)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-112615.75143827073</v>
      </c>
      <c r="N89" s="207">
        <f>+N88-N87</f>
        <v>-112615.75143827073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TP2007059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4688896.139999995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2009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5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109044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2009</v>
      </c>
      <c r="D99" s="361">
        <v>0</v>
      </c>
      <c r="E99" s="363">
        <v>49223</v>
      </c>
      <c r="F99" s="366">
        <v>4676168</v>
      </c>
      <c r="G99" s="368">
        <v>2338084</v>
      </c>
      <c r="H99" s="369">
        <v>391070</v>
      </c>
      <c r="I99" s="370">
        <v>391070</v>
      </c>
      <c r="J99" s="162">
        <f t="shared" ref="J99:J130" si="18">+I99-H99</f>
        <v>0</v>
      </c>
      <c r="K99" s="162"/>
      <c r="L99" s="333">
        <f t="shared" ref="L99:L104" si="19">H99</f>
        <v>391070</v>
      </c>
      <c r="M99" s="161">
        <f t="shared" ref="M99:M130" si="20">IF(L99&lt;&gt;0,+H99-L99,0)</f>
        <v>0</v>
      </c>
      <c r="N99" s="333">
        <f t="shared" ref="N99:N104" si="21">I99</f>
        <v>391070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1">
        <v>4639673.1399999997</v>
      </c>
      <c r="E100" s="363">
        <v>91939</v>
      </c>
      <c r="F100" s="366">
        <v>4547734.1399999997</v>
      </c>
      <c r="G100" s="366">
        <v>4593703.6399999997</v>
      </c>
      <c r="H100" s="363">
        <v>830676.46951907186</v>
      </c>
      <c r="I100" s="365">
        <v>830676.46951907186</v>
      </c>
      <c r="J100" s="162">
        <f t="shared" si="18"/>
        <v>0</v>
      </c>
      <c r="K100" s="162"/>
      <c r="L100" s="375">
        <f t="shared" si="19"/>
        <v>830676.46951907186</v>
      </c>
      <c r="M100" s="376">
        <f t="shared" si="20"/>
        <v>0</v>
      </c>
      <c r="N100" s="375">
        <f t="shared" si="21"/>
        <v>830676.46951907186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384">
        <f>IF(D93="","-",+C100+1)</f>
        <v>2011</v>
      </c>
      <c r="D101" s="361">
        <v>4547734.1399999997</v>
      </c>
      <c r="E101" s="363">
        <v>90171</v>
      </c>
      <c r="F101" s="366">
        <v>4457563.1399999997</v>
      </c>
      <c r="G101" s="366">
        <v>4502648.6399999997</v>
      </c>
      <c r="H101" s="363">
        <v>719701.78616364778</v>
      </c>
      <c r="I101" s="365">
        <v>719701.78616364778</v>
      </c>
      <c r="J101" s="162">
        <f t="shared" si="18"/>
        <v>0</v>
      </c>
      <c r="K101" s="162"/>
      <c r="L101" s="375">
        <f t="shared" si="19"/>
        <v>719701.78616364778</v>
      </c>
      <c r="M101" s="376">
        <f t="shared" si="20"/>
        <v>0</v>
      </c>
      <c r="N101" s="375">
        <f t="shared" si="21"/>
        <v>719701.78616364778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4"/>
        <v/>
      </c>
      <c r="C102" s="157">
        <f>IF(D93="","-",+C101+1)</f>
        <v>2012</v>
      </c>
      <c r="D102" s="361">
        <v>4457563.1399999997</v>
      </c>
      <c r="E102" s="363">
        <v>90171</v>
      </c>
      <c r="F102" s="366">
        <v>4367392.1399999997</v>
      </c>
      <c r="G102" s="366">
        <v>4412477.6399999997</v>
      </c>
      <c r="H102" s="363">
        <v>724930.09682284109</v>
      </c>
      <c r="I102" s="365">
        <v>724930.09682284109</v>
      </c>
      <c r="J102" s="162">
        <v>0</v>
      </c>
      <c r="K102" s="162"/>
      <c r="L102" s="375">
        <f t="shared" si="19"/>
        <v>724930.09682284109</v>
      </c>
      <c r="M102" s="376">
        <f t="shared" ref="M102:M107" si="25">IF(L102&lt;&gt;0,+H102-L102,0)</f>
        <v>0</v>
      </c>
      <c r="N102" s="375">
        <f t="shared" si="21"/>
        <v>724930.09682284109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4"/>
        <v/>
      </c>
      <c r="C103" s="157">
        <f>IF(D93="","-",+C102+1)</f>
        <v>2013</v>
      </c>
      <c r="D103" s="361">
        <v>4367392.1399999997</v>
      </c>
      <c r="E103" s="363">
        <v>90171</v>
      </c>
      <c r="F103" s="366">
        <v>4277221.1399999997</v>
      </c>
      <c r="G103" s="366">
        <v>4322306.6399999997</v>
      </c>
      <c r="H103" s="363">
        <v>712322.06264393788</v>
      </c>
      <c r="I103" s="365">
        <v>712322.06264393788</v>
      </c>
      <c r="J103" s="162">
        <v>0</v>
      </c>
      <c r="K103" s="162"/>
      <c r="L103" s="375">
        <f t="shared" si="19"/>
        <v>712322.06264393788</v>
      </c>
      <c r="M103" s="376">
        <f t="shared" si="25"/>
        <v>0</v>
      </c>
      <c r="N103" s="375">
        <f t="shared" si="21"/>
        <v>712322.06264393788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4"/>
        <v/>
      </c>
      <c r="C104" s="157">
        <f>IF(D93="","-",+C103+1)</f>
        <v>2014</v>
      </c>
      <c r="D104" s="361">
        <v>4277221.1399999997</v>
      </c>
      <c r="E104" s="363">
        <v>90171</v>
      </c>
      <c r="F104" s="366">
        <v>4187050.1399999997</v>
      </c>
      <c r="G104" s="366">
        <v>4232135.6399999997</v>
      </c>
      <c r="H104" s="363">
        <v>685191.9710405051</v>
      </c>
      <c r="I104" s="365">
        <v>685191.9710405051</v>
      </c>
      <c r="J104" s="162">
        <v>0</v>
      </c>
      <c r="K104" s="162"/>
      <c r="L104" s="375">
        <f t="shared" si="19"/>
        <v>685191.9710405051</v>
      </c>
      <c r="M104" s="376">
        <f t="shared" si="25"/>
        <v>0</v>
      </c>
      <c r="N104" s="375">
        <f t="shared" si="21"/>
        <v>685191.9710405051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4"/>
        <v/>
      </c>
      <c r="C105" s="157">
        <f>IF(D93="","-",+C104+1)</f>
        <v>2015</v>
      </c>
      <c r="D105" s="361">
        <v>4187050.1399999997</v>
      </c>
      <c r="E105" s="363">
        <v>90171</v>
      </c>
      <c r="F105" s="366">
        <v>4096879.1399999997</v>
      </c>
      <c r="G105" s="366">
        <v>4141964.6399999997</v>
      </c>
      <c r="H105" s="363">
        <v>655308.7720911433</v>
      </c>
      <c r="I105" s="365">
        <v>655308.7720911433</v>
      </c>
      <c r="J105" s="162">
        <f t="shared" si="18"/>
        <v>0</v>
      </c>
      <c r="K105" s="162"/>
      <c r="L105" s="375">
        <f>H105</f>
        <v>655308.7720911433</v>
      </c>
      <c r="M105" s="376">
        <f t="shared" si="25"/>
        <v>0</v>
      </c>
      <c r="N105" s="375">
        <f>I105</f>
        <v>655308.7720911433</v>
      </c>
      <c r="O105" s="162">
        <f t="shared" si="22"/>
        <v>0</v>
      </c>
      <c r="P105" s="162">
        <f t="shared" si="23"/>
        <v>0</v>
      </c>
    </row>
    <row r="106" spans="1:16">
      <c r="B106" s="9" t="str">
        <f t="shared" si="24"/>
        <v/>
      </c>
      <c r="C106" s="157">
        <f>IF(D93="","-",+C105+1)</f>
        <v>2016</v>
      </c>
      <c r="D106" s="361">
        <v>4096879.1399999997</v>
      </c>
      <c r="E106" s="363">
        <v>101933</v>
      </c>
      <c r="F106" s="366">
        <v>3994946.1399999997</v>
      </c>
      <c r="G106" s="366">
        <v>4045912.6399999997</v>
      </c>
      <c r="H106" s="363">
        <v>623514.8578657991</v>
      </c>
      <c r="I106" s="365">
        <v>623514.8578657991</v>
      </c>
      <c r="J106" s="162">
        <f t="shared" si="18"/>
        <v>0</v>
      </c>
      <c r="K106" s="162"/>
      <c r="L106" s="375">
        <f>H106</f>
        <v>623514.8578657991</v>
      </c>
      <c r="M106" s="376">
        <f t="shared" si="25"/>
        <v>0</v>
      </c>
      <c r="N106" s="375">
        <f>I106</f>
        <v>623514.8578657991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4"/>
        <v/>
      </c>
      <c r="C107" s="157">
        <f>IF(D93="","-",+C106+1)</f>
        <v>2017</v>
      </c>
      <c r="D107" s="361">
        <v>3994946.1399999997</v>
      </c>
      <c r="E107" s="363">
        <v>101933</v>
      </c>
      <c r="F107" s="366">
        <v>3893013.1399999997</v>
      </c>
      <c r="G107" s="366">
        <v>3943979.6399999997</v>
      </c>
      <c r="H107" s="363">
        <v>602236.76208219538</v>
      </c>
      <c r="I107" s="365">
        <v>602236.76208219538</v>
      </c>
      <c r="J107" s="162">
        <f t="shared" si="18"/>
        <v>0</v>
      </c>
      <c r="K107" s="162"/>
      <c r="L107" s="375">
        <f>H107</f>
        <v>602236.76208219538</v>
      </c>
      <c r="M107" s="376">
        <f t="shared" si="25"/>
        <v>0</v>
      </c>
      <c r="N107" s="375">
        <f>I107</f>
        <v>602236.76208219538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4"/>
        <v/>
      </c>
      <c r="C108" s="157">
        <f>IF(D93="","-",+C107+1)</f>
        <v>2018</v>
      </c>
      <c r="D108" s="158">
        <f>IF(F107+SUM(E$99:E107)=D$92,F107,D$92-SUM(E$99:E107))</f>
        <v>3893013.1399999997</v>
      </c>
      <c r="E108" s="165">
        <f>IF(+J96&lt;F107,J96,D108)</f>
        <v>109044</v>
      </c>
      <c r="F108" s="163">
        <f t="shared" ref="F108:F130" si="26">+D108-E108</f>
        <v>3783969.1399999997</v>
      </c>
      <c r="G108" s="163">
        <f t="shared" ref="G108:G130" si="27">+(F108+D108)/2</f>
        <v>3838491.1399999997</v>
      </c>
      <c r="H108" s="167">
        <f t="shared" ref="H108:H154" si="28">+J$94*G108+E108</f>
        <v>503393.56302800257</v>
      </c>
      <c r="I108" s="312">
        <f t="shared" ref="I108:I154" si="29">+J$95*G108+E108</f>
        <v>503393.56302800257</v>
      </c>
      <c r="J108" s="162">
        <f t="shared" si="18"/>
        <v>0</v>
      </c>
      <c r="K108" s="162"/>
      <c r="L108" s="330"/>
      <c r="M108" s="162">
        <f t="shared" si="20"/>
        <v>0</v>
      </c>
      <c r="N108" s="330"/>
      <c r="O108" s="162">
        <f t="shared" si="22"/>
        <v>0</v>
      </c>
      <c r="P108" s="162">
        <f t="shared" si="23"/>
        <v>0</v>
      </c>
    </row>
    <row r="109" spans="1:16">
      <c r="B109" s="9" t="str">
        <f t="shared" si="24"/>
        <v/>
      </c>
      <c r="C109" s="157">
        <f>IF(D93="","-",+C108+1)</f>
        <v>2019</v>
      </c>
      <c r="D109" s="158">
        <f>IF(F108+SUM(E$99:E108)=D$92,F108,D$92-SUM(E$99:E108))</f>
        <v>3783969.1399999997</v>
      </c>
      <c r="E109" s="165">
        <f>IF(+J96&lt;F108,J96,D109)</f>
        <v>109044</v>
      </c>
      <c r="F109" s="163">
        <f t="shared" si="26"/>
        <v>3674925.1399999997</v>
      </c>
      <c r="G109" s="163">
        <f t="shared" si="27"/>
        <v>3729447.1399999997</v>
      </c>
      <c r="H109" s="167">
        <f t="shared" si="28"/>
        <v>492190.8658789281</v>
      </c>
      <c r="I109" s="312">
        <f t="shared" si="29"/>
        <v>492190.8658789281</v>
      </c>
      <c r="J109" s="162">
        <f t="shared" si="18"/>
        <v>0</v>
      </c>
      <c r="K109" s="162"/>
      <c r="L109" s="330"/>
      <c r="M109" s="162">
        <f t="shared" si="20"/>
        <v>0</v>
      </c>
      <c r="N109" s="330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4"/>
        <v/>
      </c>
      <c r="C110" s="157">
        <f>IF(D93="","-",+C109+1)</f>
        <v>2020</v>
      </c>
      <c r="D110" s="158">
        <f>IF(F109+SUM(E$99:E109)=D$92,F109,D$92-SUM(E$99:E109))</f>
        <v>3674925.1399999997</v>
      </c>
      <c r="E110" s="165">
        <f>IF(+J96&lt;F109,J96,D110)</f>
        <v>109044</v>
      </c>
      <c r="F110" s="163">
        <f t="shared" si="26"/>
        <v>3565881.1399999997</v>
      </c>
      <c r="G110" s="163">
        <f t="shared" si="27"/>
        <v>3620403.1399999997</v>
      </c>
      <c r="H110" s="167">
        <f t="shared" si="28"/>
        <v>480988.16872985364</v>
      </c>
      <c r="I110" s="312">
        <f t="shared" si="29"/>
        <v>480988.16872985364</v>
      </c>
      <c r="J110" s="162">
        <f t="shared" si="18"/>
        <v>0</v>
      </c>
      <c r="K110" s="162"/>
      <c r="L110" s="330"/>
      <c r="M110" s="162">
        <f t="shared" si="20"/>
        <v>0</v>
      </c>
      <c r="N110" s="330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2021</v>
      </c>
      <c r="D111" s="158">
        <f>IF(F110+SUM(E$99:E110)=D$92,F110,D$92-SUM(E$99:E110))</f>
        <v>3565881.1399999997</v>
      </c>
      <c r="E111" s="165">
        <f>IF(+J96&lt;F110,J96,D111)</f>
        <v>109044</v>
      </c>
      <c r="F111" s="163">
        <f t="shared" si="26"/>
        <v>3456837.1399999997</v>
      </c>
      <c r="G111" s="163">
        <f t="shared" si="27"/>
        <v>3511359.1399999997</v>
      </c>
      <c r="H111" s="167">
        <f t="shared" si="28"/>
        <v>469785.47158077918</v>
      </c>
      <c r="I111" s="312">
        <f t="shared" si="29"/>
        <v>469785.47158077918</v>
      </c>
      <c r="J111" s="162">
        <f t="shared" si="18"/>
        <v>0</v>
      </c>
      <c r="K111" s="162"/>
      <c r="L111" s="330"/>
      <c r="M111" s="162">
        <f t="shared" si="20"/>
        <v>0</v>
      </c>
      <c r="N111" s="330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2022</v>
      </c>
      <c r="D112" s="158">
        <f>IF(F111+SUM(E$99:E111)=D$92,F111,D$92-SUM(E$99:E111))</f>
        <v>3456837.1399999997</v>
      </c>
      <c r="E112" s="165">
        <f>IF(+J96&lt;F111,J96,D112)</f>
        <v>109044</v>
      </c>
      <c r="F112" s="163">
        <f t="shared" si="26"/>
        <v>3347793.1399999997</v>
      </c>
      <c r="G112" s="163">
        <f t="shared" si="27"/>
        <v>3402315.1399999997</v>
      </c>
      <c r="H112" s="167">
        <f t="shared" si="28"/>
        <v>458582.77443170478</v>
      </c>
      <c r="I112" s="312">
        <f t="shared" si="29"/>
        <v>458582.77443170478</v>
      </c>
      <c r="J112" s="162">
        <f t="shared" si="18"/>
        <v>0</v>
      </c>
      <c r="K112" s="162"/>
      <c r="L112" s="330"/>
      <c r="M112" s="162">
        <f t="shared" si="20"/>
        <v>0</v>
      </c>
      <c r="N112" s="330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2023</v>
      </c>
      <c r="D113" s="158">
        <f>IF(F112+SUM(E$99:E112)=D$92,F112,D$92-SUM(E$99:E112))</f>
        <v>3347793.1399999997</v>
      </c>
      <c r="E113" s="165">
        <f>IF(+J96&lt;F112,J96,D113)</f>
        <v>109044</v>
      </c>
      <c r="F113" s="163">
        <f t="shared" si="26"/>
        <v>3238749.1399999997</v>
      </c>
      <c r="G113" s="163">
        <f t="shared" si="27"/>
        <v>3293271.1399999997</v>
      </c>
      <c r="H113" s="167">
        <f t="shared" si="28"/>
        <v>447380.07728263031</v>
      </c>
      <c r="I113" s="312">
        <f t="shared" si="29"/>
        <v>447380.07728263031</v>
      </c>
      <c r="J113" s="162">
        <f t="shared" si="18"/>
        <v>0</v>
      </c>
      <c r="K113" s="162"/>
      <c r="L113" s="330"/>
      <c r="M113" s="162">
        <f t="shared" si="20"/>
        <v>0</v>
      </c>
      <c r="N113" s="330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2024</v>
      </c>
      <c r="D114" s="158">
        <f>IF(F113+SUM(E$99:E113)=D$92,F113,D$92-SUM(E$99:E113))</f>
        <v>3238749.1399999997</v>
      </c>
      <c r="E114" s="165">
        <f>IF(+J96&lt;F113,J96,D114)</f>
        <v>109044</v>
      </c>
      <c r="F114" s="163">
        <f t="shared" si="26"/>
        <v>3129705.1399999997</v>
      </c>
      <c r="G114" s="163">
        <f t="shared" si="27"/>
        <v>3184227.1399999997</v>
      </c>
      <c r="H114" s="167">
        <f t="shared" si="28"/>
        <v>436177.38013355585</v>
      </c>
      <c r="I114" s="312">
        <f t="shared" si="29"/>
        <v>436177.38013355585</v>
      </c>
      <c r="J114" s="162">
        <f t="shared" si="18"/>
        <v>0</v>
      </c>
      <c r="K114" s="162"/>
      <c r="L114" s="330"/>
      <c r="M114" s="162">
        <f t="shared" si="20"/>
        <v>0</v>
      </c>
      <c r="N114" s="330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2025</v>
      </c>
      <c r="D115" s="158">
        <f>IF(F114+SUM(E$99:E114)=D$92,F114,D$92-SUM(E$99:E114))</f>
        <v>3129705.1399999997</v>
      </c>
      <c r="E115" s="165">
        <f>IF(+J96&lt;F114,J96,D115)</f>
        <v>109044</v>
      </c>
      <c r="F115" s="163">
        <f t="shared" si="26"/>
        <v>3020661.1399999997</v>
      </c>
      <c r="G115" s="163">
        <f t="shared" si="27"/>
        <v>3075183.1399999997</v>
      </c>
      <c r="H115" s="167">
        <f t="shared" si="28"/>
        <v>424974.68298448145</v>
      </c>
      <c r="I115" s="312">
        <f t="shared" si="29"/>
        <v>424974.68298448145</v>
      </c>
      <c r="J115" s="162">
        <f t="shared" si="18"/>
        <v>0</v>
      </c>
      <c r="K115" s="162"/>
      <c r="L115" s="330"/>
      <c r="M115" s="162">
        <f t="shared" si="20"/>
        <v>0</v>
      </c>
      <c r="N115" s="330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2026</v>
      </c>
      <c r="D116" s="158">
        <f>IF(F115+SUM(E$99:E115)=D$92,F115,D$92-SUM(E$99:E115))</f>
        <v>3020661.1399999997</v>
      </c>
      <c r="E116" s="165">
        <f>IF(+J96&lt;F115,J96,D116)</f>
        <v>109044</v>
      </c>
      <c r="F116" s="163">
        <f t="shared" si="26"/>
        <v>2911617.1399999997</v>
      </c>
      <c r="G116" s="163">
        <f t="shared" si="27"/>
        <v>2966139.1399999997</v>
      </c>
      <c r="H116" s="167">
        <f t="shared" si="28"/>
        <v>413771.98583540699</v>
      </c>
      <c r="I116" s="312">
        <f t="shared" si="29"/>
        <v>413771.98583540699</v>
      </c>
      <c r="J116" s="162">
        <f t="shared" si="18"/>
        <v>0</v>
      </c>
      <c r="K116" s="162"/>
      <c r="L116" s="330"/>
      <c r="M116" s="162">
        <f t="shared" si="20"/>
        <v>0</v>
      </c>
      <c r="N116" s="330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2027</v>
      </c>
      <c r="D117" s="158">
        <f>IF(F116+SUM(E$99:E116)=D$92,F116,D$92-SUM(E$99:E116))</f>
        <v>2911617.1399999997</v>
      </c>
      <c r="E117" s="165">
        <f>IF(+J96&lt;F116,J96,D117)</f>
        <v>109044</v>
      </c>
      <c r="F117" s="163">
        <f t="shared" si="26"/>
        <v>2802573.1399999997</v>
      </c>
      <c r="G117" s="163">
        <f t="shared" si="27"/>
        <v>2857095.1399999997</v>
      </c>
      <c r="H117" s="167">
        <f t="shared" si="28"/>
        <v>402569.28868633253</v>
      </c>
      <c r="I117" s="312">
        <f t="shared" si="29"/>
        <v>402569.28868633253</v>
      </c>
      <c r="J117" s="162">
        <f t="shared" si="18"/>
        <v>0</v>
      </c>
      <c r="K117" s="162"/>
      <c r="L117" s="330"/>
      <c r="M117" s="162">
        <f t="shared" si="20"/>
        <v>0</v>
      </c>
      <c r="N117" s="330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2028</v>
      </c>
      <c r="D118" s="158">
        <f>IF(F117+SUM(E$99:E117)=D$92,F117,D$92-SUM(E$99:E117))</f>
        <v>2802573.1399999997</v>
      </c>
      <c r="E118" s="165">
        <f>IF(+J96&lt;F117,J96,D118)</f>
        <v>109044</v>
      </c>
      <c r="F118" s="163">
        <f t="shared" si="26"/>
        <v>2693529.1399999997</v>
      </c>
      <c r="G118" s="163">
        <f t="shared" si="27"/>
        <v>2748051.1399999997</v>
      </c>
      <c r="H118" s="167">
        <f t="shared" si="28"/>
        <v>391366.59153725812</v>
      </c>
      <c r="I118" s="312">
        <f t="shared" si="29"/>
        <v>391366.59153725812</v>
      </c>
      <c r="J118" s="162">
        <f t="shared" si="18"/>
        <v>0</v>
      </c>
      <c r="K118" s="162"/>
      <c r="L118" s="330"/>
      <c r="M118" s="162">
        <f t="shared" si="20"/>
        <v>0</v>
      </c>
      <c r="N118" s="330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2029</v>
      </c>
      <c r="D119" s="158">
        <f>IF(F118+SUM(E$99:E118)=D$92,F118,D$92-SUM(E$99:E118))</f>
        <v>2693529.1399999997</v>
      </c>
      <c r="E119" s="165">
        <f>IF(+J96&lt;F118,J96,D119)</f>
        <v>109044</v>
      </c>
      <c r="F119" s="163">
        <f t="shared" si="26"/>
        <v>2584485.1399999997</v>
      </c>
      <c r="G119" s="163">
        <f t="shared" si="27"/>
        <v>2639007.1399999997</v>
      </c>
      <c r="H119" s="167">
        <f t="shared" si="28"/>
        <v>380163.89438818366</v>
      </c>
      <c r="I119" s="312">
        <f t="shared" si="29"/>
        <v>380163.89438818366</v>
      </c>
      <c r="J119" s="162">
        <f t="shared" si="18"/>
        <v>0</v>
      </c>
      <c r="K119" s="162"/>
      <c r="L119" s="330"/>
      <c r="M119" s="162">
        <f t="shared" si="20"/>
        <v>0</v>
      </c>
      <c r="N119" s="330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2030</v>
      </c>
      <c r="D120" s="158">
        <f>IF(F119+SUM(E$99:E119)=D$92,F119,D$92-SUM(E$99:E119))</f>
        <v>2584485.1399999997</v>
      </c>
      <c r="E120" s="165">
        <f>IF(+J96&lt;F119,J96,D120)</f>
        <v>109044</v>
      </c>
      <c r="F120" s="163">
        <f t="shared" si="26"/>
        <v>2475441.1399999997</v>
      </c>
      <c r="G120" s="163">
        <f t="shared" si="27"/>
        <v>2529963.1399999997</v>
      </c>
      <c r="H120" s="167">
        <f t="shared" si="28"/>
        <v>368961.1972391092</v>
      </c>
      <c r="I120" s="312">
        <f t="shared" si="29"/>
        <v>368961.1972391092</v>
      </c>
      <c r="J120" s="162">
        <f t="shared" si="18"/>
        <v>0</v>
      </c>
      <c r="K120" s="162"/>
      <c r="L120" s="330"/>
      <c r="M120" s="162">
        <f t="shared" si="20"/>
        <v>0</v>
      </c>
      <c r="N120" s="330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2031</v>
      </c>
      <c r="D121" s="158">
        <f>IF(F120+SUM(E$99:E120)=D$92,F120,D$92-SUM(E$99:E120))</f>
        <v>2475441.1399999997</v>
      </c>
      <c r="E121" s="165">
        <f>IF(+J96&lt;F120,J96,D121)</f>
        <v>109044</v>
      </c>
      <c r="F121" s="163">
        <f t="shared" si="26"/>
        <v>2366397.1399999997</v>
      </c>
      <c r="G121" s="163">
        <f t="shared" si="27"/>
        <v>2420919.1399999997</v>
      </c>
      <c r="H121" s="167">
        <f t="shared" si="28"/>
        <v>357758.50009003479</v>
      </c>
      <c r="I121" s="312">
        <f t="shared" si="29"/>
        <v>357758.50009003479</v>
      </c>
      <c r="J121" s="162">
        <f t="shared" si="18"/>
        <v>0</v>
      </c>
      <c r="K121" s="162"/>
      <c r="L121" s="330"/>
      <c r="M121" s="162">
        <f t="shared" si="20"/>
        <v>0</v>
      </c>
      <c r="N121" s="330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2032</v>
      </c>
      <c r="D122" s="158">
        <f>IF(F121+SUM(E$99:E121)=D$92,F121,D$92-SUM(E$99:E121))</f>
        <v>2366397.1399999997</v>
      </c>
      <c r="E122" s="165">
        <f>IF(+J96&lt;F121,J96,D122)</f>
        <v>109044</v>
      </c>
      <c r="F122" s="163">
        <f t="shared" si="26"/>
        <v>2257353.1399999997</v>
      </c>
      <c r="G122" s="163">
        <f t="shared" si="27"/>
        <v>2311875.1399999997</v>
      </c>
      <c r="H122" s="167">
        <f t="shared" si="28"/>
        <v>346555.80294096033</v>
      </c>
      <c r="I122" s="312">
        <f t="shared" si="29"/>
        <v>346555.80294096033</v>
      </c>
      <c r="J122" s="162">
        <f t="shared" si="18"/>
        <v>0</v>
      </c>
      <c r="K122" s="162"/>
      <c r="L122" s="330"/>
      <c r="M122" s="162">
        <f t="shared" si="20"/>
        <v>0</v>
      </c>
      <c r="N122" s="330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2033</v>
      </c>
      <c r="D123" s="158">
        <f>IF(F122+SUM(E$99:E122)=D$92,F122,D$92-SUM(E$99:E122))</f>
        <v>2257353.1399999997</v>
      </c>
      <c r="E123" s="165">
        <f>IF(+J96&lt;F122,J96,D123)</f>
        <v>109044</v>
      </c>
      <c r="F123" s="163">
        <f t="shared" si="26"/>
        <v>2148309.1399999997</v>
      </c>
      <c r="G123" s="163">
        <f t="shared" si="27"/>
        <v>2202831.1399999997</v>
      </c>
      <c r="H123" s="167">
        <f t="shared" si="28"/>
        <v>335353.10579188587</v>
      </c>
      <c r="I123" s="312">
        <f t="shared" si="29"/>
        <v>335353.10579188587</v>
      </c>
      <c r="J123" s="162">
        <f t="shared" si="18"/>
        <v>0</v>
      </c>
      <c r="K123" s="162"/>
      <c r="L123" s="330"/>
      <c r="M123" s="162">
        <f t="shared" si="20"/>
        <v>0</v>
      </c>
      <c r="N123" s="330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2034</v>
      </c>
      <c r="D124" s="158">
        <f>IF(F123+SUM(E$99:E123)=D$92,F123,D$92-SUM(E$99:E123))</f>
        <v>2148309.1399999997</v>
      </c>
      <c r="E124" s="165">
        <f>IF(+J96&lt;F123,J96,D124)</f>
        <v>109044</v>
      </c>
      <c r="F124" s="163">
        <f t="shared" si="26"/>
        <v>2039265.1399999997</v>
      </c>
      <c r="G124" s="163">
        <f t="shared" si="27"/>
        <v>2093787.1399999997</v>
      </c>
      <c r="H124" s="167">
        <f t="shared" si="28"/>
        <v>324150.40864281147</v>
      </c>
      <c r="I124" s="312">
        <f t="shared" si="29"/>
        <v>324150.40864281147</v>
      </c>
      <c r="J124" s="162">
        <f t="shared" si="18"/>
        <v>0</v>
      </c>
      <c r="K124" s="162"/>
      <c r="L124" s="330"/>
      <c r="M124" s="162">
        <f t="shared" si="20"/>
        <v>0</v>
      </c>
      <c r="N124" s="330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2035</v>
      </c>
      <c r="D125" s="158">
        <f>IF(F124+SUM(E$99:E124)=D$92,F124,D$92-SUM(E$99:E124))</f>
        <v>2039265.1399999997</v>
      </c>
      <c r="E125" s="165">
        <f>IF(+J96&lt;F124,J96,D125)</f>
        <v>109044</v>
      </c>
      <c r="F125" s="163">
        <f t="shared" si="26"/>
        <v>1930221.1399999997</v>
      </c>
      <c r="G125" s="163">
        <f t="shared" si="27"/>
        <v>1984743.1399999997</v>
      </c>
      <c r="H125" s="167">
        <f t="shared" si="28"/>
        <v>312947.71149373701</v>
      </c>
      <c r="I125" s="312">
        <f t="shared" si="29"/>
        <v>312947.71149373701</v>
      </c>
      <c r="J125" s="162">
        <f t="shared" si="18"/>
        <v>0</v>
      </c>
      <c r="K125" s="162"/>
      <c r="L125" s="330"/>
      <c r="M125" s="162">
        <f t="shared" si="20"/>
        <v>0</v>
      </c>
      <c r="N125" s="330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2036</v>
      </c>
      <c r="D126" s="158">
        <f>IF(F125+SUM(E$99:E125)=D$92,F125,D$92-SUM(E$99:E125))</f>
        <v>1930221.1399999997</v>
      </c>
      <c r="E126" s="165">
        <f>IF(+J96&lt;F125,J96,D126)</f>
        <v>109044</v>
      </c>
      <c r="F126" s="163">
        <f t="shared" si="26"/>
        <v>1821177.1399999997</v>
      </c>
      <c r="G126" s="163">
        <f t="shared" si="27"/>
        <v>1875699.1399999997</v>
      </c>
      <c r="H126" s="167">
        <f t="shared" si="28"/>
        <v>301745.01434466254</v>
      </c>
      <c r="I126" s="312">
        <f t="shared" si="29"/>
        <v>301745.01434466254</v>
      </c>
      <c r="J126" s="162">
        <f t="shared" si="18"/>
        <v>0</v>
      </c>
      <c r="K126" s="162"/>
      <c r="L126" s="330"/>
      <c r="M126" s="162">
        <f t="shared" si="20"/>
        <v>0</v>
      </c>
      <c r="N126" s="330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2037</v>
      </c>
      <c r="D127" s="158">
        <f>IF(F126+SUM(E$99:E126)=D$92,F126,D$92-SUM(E$99:E126))</f>
        <v>1821177.1399999997</v>
      </c>
      <c r="E127" s="165">
        <f>IF(+J96&lt;F126,J96,D127)</f>
        <v>109044</v>
      </c>
      <c r="F127" s="163">
        <f t="shared" si="26"/>
        <v>1712133.1399999997</v>
      </c>
      <c r="G127" s="163">
        <f t="shared" si="27"/>
        <v>1766655.1399999997</v>
      </c>
      <c r="H127" s="167">
        <f t="shared" si="28"/>
        <v>290542.31719558814</v>
      </c>
      <c r="I127" s="312">
        <f t="shared" si="29"/>
        <v>290542.31719558814</v>
      </c>
      <c r="J127" s="162">
        <f t="shared" si="18"/>
        <v>0</v>
      </c>
      <c r="K127" s="162"/>
      <c r="L127" s="330"/>
      <c r="M127" s="162">
        <f t="shared" si="20"/>
        <v>0</v>
      </c>
      <c r="N127" s="330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2038</v>
      </c>
      <c r="D128" s="158">
        <f>IF(F127+SUM(E$99:E127)=D$92,F127,D$92-SUM(E$99:E127))</f>
        <v>1712133.1399999997</v>
      </c>
      <c r="E128" s="165">
        <f>IF(+J96&lt;F127,J96,D128)</f>
        <v>109044</v>
      </c>
      <c r="F128" s="163">
        <f t="shared" si="26"/>
        <v>1603089.1399999997</v>
      </c>
      <c r="G128" s="163">
        <f t="shared" si="27"/>
        <v>1657611.1399999997</v>
      </c>
      <c r="H128" s="167">
        <f t="shared" si="28"/>
        <v>279339.62004651362</v>
      </c>
      <c r="I128" s="312">
        <f t="shared" si="29"/>
        <v>279339.62004651362</v>
      </c>
      <c r="J128" s="162">
        <f t="shared" si="18"/>
        <v>0</v>
      </c>
      <c r="K128" s="162"/>
      <c r="L128" s="330"/>
      <c r="M128" s="162">
        <f t="shared" si="20"/>
        <v>0</v>
      </c>
      <c r="N128" s="330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2039</v>
      </c>
      <c r="D129" s="158">
        <f>IF(F128+SUM(E$99:E128)=D$92,F128,D$92-SUM(E$99:E128))</f>
        <v>1603089.1399999997</v>
      </c>
      <c r="E129" s="165">
        <f>IF(+J96&lt;F128,J96,D129)</f>
        <v>109044</v>
      </c>
      <c r="F129" s="163">
        <f t="shared" si="26"/>
        <v>1494045.1399999997</v>
      </c>
      <c r="G129" s="163">
        <f t="shared" si="27"/>
        <v>1548567.1399999997</v>
      </c>
      <c r="H129" s="167">
        <f t="shared" si="28"/>
        <v>268136.92289743922</v>
      </c>
      <c r="I129" s="312">
        <f t="shared" si="29"/>
        <v>268136.92289743922</v>
      </c>
      <c r="J129" s="162">
        <f t="shared" si="18"/>
        <v>0</v>
      </c>
      <c r="K129" s="162"/>
      <c r="L129" s="330"/>
      <c r="M129" s="162">
        <f t="shared" si="20"/>
        <v>0</v>
      </c>
      <c r="N129" s="330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2040</v>
      </c>
      <c r="D130" s="158">
        <f>IF(F129+SUM(E$99:E129)=D$92,F129,D$92-SUM(E$99:E129))</f>
        <v>1494045.1399999997</v>
      </c>
      <c r="E130" s="165">
        <f>IF(+J96&lt;F129,J96,D130)</f>
        <v>109044</v>
      </c>
      <c r="F130" s="163">
        <f t="shared" si="26"/>
        <v>1385001.1399999997</v>
      </c>
      <c r="G130" s="163">
        <f t="shared" si="27"/>
        <v>1439523.1399999997</v>
      </c>
      <c r="H130" s="167">
        <f t="shared" si="28"/>
        <v>256934.22574836478</v>
      </c>
      <c r="I130" s="312">
        <f t="shared" si="29"/>
        <v>256934.22574836478</v>
      </c>
      <c r="J130" s="162">
        <f t="shared" si="18"/>
        <v>0</v>
      </c>
      <c r="K130" s="162"/>
      <c r="L130" s="330"/>
      <c r="M130" s="162">
        <f t="shared" si="20"/>
        <v>0</v>
      </c>
      <c r="N130" s="330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2041</v>
      </c>
      <c r="D131" s="158">
        <f>IF(F130+SUM(E$99:E130)=D$92,F130,D$92-SUM(E$99:E130))</f>
        <v>1385001.1399999997</v>
      </c>
      <c r="E131" s="165">
        <f>IF(+J96&lt;F130,J96,D131)</f>
        <v>109044</v>
      </c>
      <c r="F131" s="163">
        <f t="shared" ref="F131:F154" si="30">+D131-E131</f>
        <v>1275957.1399999997</v>
      </c>
      <c r="G131" s="163">
        <f t="shared" ref="G131:G154" si="31">+(F131+D131)/2</f>
        <v>1330479.1399999997</v>
      </c>
      <c r="H131" s="167">
        <f t="shared" si="28"/>
        <v>245731.52859929032</v>
      </c>
      <c r="I131" s="312">
        <f t="shared" si="29"/>
        <v>245731.52859929032</v>
      </c>
      <c r="J131" s="162">
        <f t="shared" ref="J131:J154" si="32">+I131-H131</f>
        <v>0</v>
      </c>
      <c r="K131" s="162"/>
      <c r="L131" s="330"/>
      <c r="M131" s="162">
        <f t="shared" ref="M131:M154" si="33">IF(L131&lt;&gt;0,+H131-L131,0)</f>
        <v>0</v>
      </c>
      <c r="N131" s="330"/>
      <c r="O131" s="162">
        <f t="shared" ref="O131:O154" si="34">IF(N131&lt;&gt;0,+I131-N131,0)</f>
        <v>0</v>
      </c>
      <c r="P131" s="162">
        <f t="shared" ref="P131:P154" si="35">+O131-M131</f>
        <v>0</v>
      </c>
    </row>
    <row r="132" spans="2:16">
      <c r="B132" s="9" t="str">
        <f t="shared" si="24"/>
        <v/>
      </c>
      <c r="C132" s="157">
        <f>IF(D93="","-",+C131+1)</f>
        <v>2042</v>
      </c>
      <c r="D132" s="158">
        <f>IF(F131+SUM(E$99:E131)=D$92,F131,D$92-SUM(E$99:E131))</f>
        <v>1275957.1399999997</v>
      </c>
      <c r="E132" s="165">
        <f>IF(+J96&lt;F131,J96,D132)</f>
        <v>109044</v>
      </c>
      <c r="F132" s="163">
        <f t="shared" si="30"/>
        <v>1166913.1399999997</v>
      </c>
      <c r="G132" s="163">
        <f t="shared" si="31"/>
        <v>1221435.1399999997</v>
      </c>
      <c r="H132" s="167">
        <f t="shared" si="28"/>
        <v>234528.83145021589</v>
      </c>
      <c r="I132" s="312">
        <f t="shared" si="29"/>
        <v>234528.83145021589</v>
      </c>
      <c r="J132" s="162">
        <f t="shared" si="32"/>
        <v>0</v>
      </c>
      <c r="K132" s="162"/>
      <c r="L132" s="330"/>
      <c r="M132" s="162">
        <f t="shared" si="33"/>
        <v>0</v>
      </c>
      <c r="N132" s="330"/>
      <c r="O132" s="162">
        <f t="shared" si="34"/>
        <v>0</v>
      </c>
      <c r="P132" s="162">
        <f t="shared" si="35"/>
        <v>0</v>
      </c>
    </row>
    <row r="133" spans="2:16">
      <c r="B133" s="9" t="str">
        <f t="shared" si="24"/>
        <v/>
      </c>
      <c r="C133" s="157">
        <f>IF(D93="","-",+C132+1)</f>
        <v>2043</v>
      </c>
      <c r="D133" s="158">
        <f>IF(F132+SUM(E$99:E132)=D$92,F132,D$92-SUM(E$99:E132))</f>
        <v>1166913.1399999997</v>
      </c>
      <c r="E133" s="165">
        <f>IF(+J96&lt;F132,J96,D133)</f>
        <v>109044</v>
      </c>
      <c r="F133" s="163">
        <f t="shared" si="30"/>
        <v>1057869.1399999997</v>
      </c>
      <c r="G133" s="163">
        <f t="shared" si="31"/>
        <v>1112391.1399999997</v>
      </c>
      <c r="H133" s="167">
        <f t="shared" si="28"/>
        <v>223326.13430114143</v>
      </c>
      <c r="I133" s="312">
        <f t="shared" si="29"/>
        <v>223326.13430114143</v>
      </c>
      <c r="J133" s="162">
        <f t="shared" si="32"/>
        <v>0</v>
      </c>
      <c r="K133" s="162"/>
      <c r="L133" s="330"/>
      <c r="M133" s="162">
        <f t="shared" si="33"/>
        <v>0</v>
      </c>
      <c r="N133" s="330"/>
      <c r="O133" s="162">
        <f t="shared" si="34"/>
        <v>0</v>
      </c>
      <c r="P133" s="162">
        <f t="shared" si="35"/>
        <v>0</v>
      </c>
    </row>
    <row r="134" spans="2:16">
      <c r="B134" s="9" t="str">
        <f t="shared" si="24"/>
        <v/>
      </c>
      <c r="C134" s="157">
        <f>IF(D93="","-",+C133+1)</f>
        <v>2044</v>
      </c>
      <c r="D134" s="158">
        <f>IF(F133+SUM(E$99:E133)=D$92,F133,D$92-SUM(E$99:E133))</f>
        <v>1057869.1399999997</v>
      </c>
      <c r="E134" s="165">
        <f>IF(+J96&lt;F133,J96,D134)</f>
        <v>109044</v>
      </c>
      <c r="F134" s="163">
        <f t="shared" si="30"/>
        <v>948825.13999999966</v>
      </c>
      <c r="G134" s="163">
        <f t="shared" si="31"/>
        <v>1003347.1399999997</v>
      </c>
      <c r="H134" s="167">
        <f t="shared" si="28"/>
        <v>212123.437152067</v>
      </c>
      <c r="I134" s="312">
        <f t="shared" si="29"/>
        <v>212123.437152067</v>
      </c>
      <c r="J134" s="162">
        <f t="shared" si="32"/>
        <v>0</v>
      </c>
      <c r="K134" s="162"/>
      <c r="L134" s="330"/>
      <c r="M134" s="162">
        <f t="shared" si="33"/>
        <v>0</v>
      </c>
      <c r="N134" s="330"/>
      <c r="O134" s="162">
        <f t="shared" si="34"/>
        <v>0</v>
      </c>
      <c r="P134" s="162">
        <f t="shared" si="35"/>
        <v>0</v>
      </c>
    </row>
    <row r="135" spans="2:16">
      <c r="B135" s="9" t="str">
        <f t="shared" si="24"/>
        <v/>
      </c>
      <c r="C135" s="157">
        <f>IF(D93="","-",+C134+1)</f>
        <v>2045</v>
      </c>
      <c r="D135" s="158">
        <f>IF(F134+SUM(E$99:E134)=D$92,F134,D$92-SUM(E$99:E134))</f>
        <v>948825.13999999966</v>
      </c>
      <c r="E135" s="165">
        <f>IF(+J96&lt;F134,J96,D135)</f>
        <v>109044</v>
      </c>
      <c r="F135" s="163">
        <f t="shared" si="30"/>
        <v>839781.13999999966</v>
      </c>
      <c r="G135" s="163">
        <f t="shared" si="31"/>
        <v>894303.13999999966</v>
      </c>
      <c r="H135" s="167">
        <f t="shared" si="28"/>
        <v>200920.74000299256</v>
      </c>
      <c r="I135" s="312">
        <f t="shared" si="29"/>
        <v>200920.74000299256</v>
      </c>
      <c r="J135" s="162">
        <f t="shared" si="32"/>
        <v>0</v>
      </c>
      <c r="K135" s="162"/>
      <c r="L135" s="330"/>
      <c r="M135" s="162">
        <f t="shared" si="33"/>
        <v>0</v>
      </c>
      <c r="N135" s="330"/>
      <c r="O135" s="162">
        <f t="shared" si="34"/>
        <v>0</v>
      </c>
      <c r="P135" s="162">
        <f t="shared" si="35"/>
        <v>0</v>
      </c>
    </row>
    <row r="136" spans="2:16">
      <c r="B136" s="9" t="str">
        <f t="shared" si="24"/>
        <v/>
      </c>
      <c r="C136" s="157">
        <f>IF(D93="","-",+C135+1)</f>
        <v>2046</v>
      </c>
      <c r="D136" s="158">
        <f>IF(F135+SUM(E$99:E135)=D$92,F135,D$92-SUM(E$99:E135))</f>
        <v>839781.13999999966</v>
      </c>
      <c r="E136" s="165">
        <f>IF(+J96&lt;F135,J96,D136)</f>
        <v>109044</v>
      </c>
      <c r="F136" s="163">
        <f t="shared" si="30"/>
        <v>730737.13999999966</v>
      </c>
      <c r="G136" s="163">
        <f t="shared" si="31"/>
        <v>785259.13999999966</v>
      </c>
      <c r="H136" s="167">
        <f t="shared" si="28"/>
        <v>189718.0428539181</v>
      </c>
      <c r="I136" s="312">
        <f t="shared" si="29"/>
        <v>189718.0428539181</v>
      </c>
      <c r="J136" s="162">
        <f t="shared" si="32"/>
        <v>0</v>
      </c>
      <c r="K136" s="162"/>
      <c r="L136" s="330"/>
      <c r="M136" s="162">
        <f t="shared" si="33"/>
        <v>0</v>
      </c>
      <c r="N136" s="330"/>
      <c r="O136" s="162">
        <f t="shared" si="34"/>
        <v>0</v>
      </c>
      <c r="P136" s="162">
        <f t="shared" si="35"/>
        <v>0</v>
      </c>
    </row>
    <row r="137" spans="2:16">
      <c r="B137" s="9" t="str">
        <f t="shared" si="24"/>
        <v/>
      </c>
      <c r="C137" s="157">
        <f>IF(D93="","-",+C136+1)</f>
        <v>2047</v>
      </c>
      <c r="D137" s="158">
        <f>IF(F136+SUM(E$99:E136)=D$92,F136,D$92-SUM(E$99:E136))</f>
        <v>730737.13999999966</v>
      </c>
      <c r="E137" s="165">
        <f>IF(+J96&lt;F136,J96,D137)</f>
        <v>109044</v>
      </c>
      <c r="F137" s="163">
        <f t="shared" si="30"/>
        <v>621693.13999999966</v>
      </c>
      <c r="G137" s="163">
        <f t="shared" si="31"/>
        <v>676215.13999999966</v>
      </c>
      <c r="H137" s="167">
        <f t="shared" si="28"/>
        <v>178515.34570484367</v>
      </c>
      <c r="I137" s="312">
        <f t="shared" si="29"/>
        <v>178515.34570484367</v>
      </c>
      <c r="J137" s="162">
        <f t="shared" si="32"/>
        <v>0</v>
      </c>
      <c r="K137" s="162"/>
      <c r="L137" s="330"/>
      <c r="M137" s="162">
        <f t="shared" si="33"/>
        <v>0</v>
      </c>
      <c r="N137" s="330"/>
      <c r="O137" s="162">
        <f t="shared" si="34"/>
        <v>0</v>
      </c>
      <c r="P137" s="162">
        <f t="shared" si="35"/>
        <v>0</v>
      </c>
    </row>
    <row r="138" spans="2:16">
      <c r="B138" s="9" t="str">
        <f t="shared" si="24"/>
        <v/>
      </c>
      <c r="C138" s="157">
        <f>IF(D93="","-",+C137+1)</f>
        <v>2048</v>
      </c>
      <c r="D138" s="158">
        <f>IF(F137+SUM(E$99:E137)=D$92,F137,D$92-SUM(E$99:E137))</f>
        <v>621693.13999999966</v>
      </c>
      <c r="E138" s="165">
        <f>IF(+J96&lt;F137,J96,D138)</f>
        <v>109044</v>
      </c>
      <c r="F138" s="163">
        <f t="shared" si="30"/>
        <v>512649.13999999966</v>
      </c>
      <c r="G138" s="163">
        <f t="shared" si="31"/>
        <v>567171.13999999966</v>
      </c>
      <c r="H138" s="167">
        <f t="shared" si="28"/>
        <v>167312.64855576924</v>
      </c>
      <c r="I138" s="312">
        <f t="shared" si="29"/>
        <v>167312.64855576924</v>
      </c>
      <c r="J138" s="162">
        <f t="shared" si="32"/>
        <v>0</v>
      </c>
      <c r="K138" s="162"/>
      <c r="L138" s="330"/>
      <c r="M138" s="162">
        <f t="shared" si="33"/>
        <v>0</v>
      </c>
      <c r="N138" s="330"/>
      <c r="O138" s="162">
        <f t="shared" si="34"/>
        <v>0</v>
      </c>
      <c r="P138" s="162">
        <f t="shared" si="35"/>
        <v>0</v>
      </c>
    </row>
    <row r="139" spans="2:16">
      <c r="B139" s="9" t="str">
        <f t="shared" si="24"/>
        <v/>
      </c>
      <c r="C139" s="157">
        <f>IF(D93="","-",+C138+1)</f>
        <v>2049</v>
      </c>
      <c r="D139" s="158">
        <f>IF(F138+SUM(E$99:E138)=D$92,F138,D$92-SUM(E$99:E138))</f>
        <v>512649.13999999966</v>
      </c>
      <c r="E139" s="165">
        <f>IF(+J96&lt;F138,J96,D139)</f>
        <v>109044</v>
      </c>
      <c r="F139" s="163">
        <f t="shared" si="30"/>
        <v>403605.13999999966</v>
      </c>
      <c r="G139" s="163">
        <f t="shared" si="31"/>
        <v>458127.13999999966</v>
      </c>
      <c r="H139" s="167">
        <f t="shared" si="28"/>
        <v>156109.95140669477</v>
      </c>
      <c r="I139" s="312">
        <f t="shared" si="29"/>
        <v>156109.95140669477</v>
      </c>
      <c r="J139" s="162">
        <f t="shared" si="32"/>
        <v>0</v>
      </c>
      <c r="K139" s="162"/>
      <c r="L139" s="330"/>
      <c r="M139" s="162">
        <f t="shared" si="33"/>
        <v>0</v>
      </c>
      <c r="N139" s="330"/>
      <c r="O139" s="162">
        <f t="shared" si="34"/>
        <v>0</v>
      </c>
      <c r="P139" s="162">
        <f t="shared" si="35"/>
        <v>0</v>
      </c>
    </row>
    <row r="140" spans="2:16">
      <c r="B140" s="9" t="str">
        <f t="shared" si="24"/>
        <v/>
      </c>
      <c r="C140" s="157">
        <f>IF(D93="","-",+C139+1)</f>
        <v>2050</v>
      </c>
      <c r="D140" s="158">
        <f>IF(F139+SUM(E$99:E139)=D$92,F139,D$92-SUM(E$99:E139))</f>
        <v>403605.13999999966</v>
      </c>
      <c r="E140" s="165">
        <f>IF(+J96&lt;F139,J96,D140)</f>
        <v>109044</v>
      </c>
      <c r="F140" s="163">
        <f t="shared" si="30"/>
        <v>294561.13999999966</v>
      </c>
      <c r="G140" s="163">
        <f t="shared" si="31"/>
        <v>349083.13999999966</v>
      </c>
      <c r="H140" s="167">
        <f t="shared" si="28"/>
        <v>144907.25425762031</v>
      </c>
      <c r="I140" s="312">
        <f t="shared" si="29"/>
        <v>144907.25425762031</v>
      </c>
      <c r="J140" s="162">
        <f t="shared" si="32"/>
        <v>0</v>
      </c>
      <c r="K140" s="162"/>
      <c r="L140" s="330"/>
      <c r="M140" s="162">
        <f t="shared" si="33"/>
        <v>0</v>
      </c>
      <c r="N140" s="330"/>
      <c r="O140" s="162">
        <f t="shared" si="34"/>
        <v>0</v>
      </c>
      <c r="P140" s="162">
        <f t="shared" si="35"/>
        <v>0</v>
      </c>
    </row>
    <row r="141" spans="2:16">
      <c r="B141" s="9" t="str">
        <f t="shared" si="24"/>
        <v/>
      </c>
      <c r="C141" s="157">
        <f>IF(D93="","-",+C140+1)</f>
        <v>2051</v>
      </c>
      <c r="D141" s="158">
        <f>IF(F140+SUM(E$99:E140)=D$92,F140,D$92-SUM(E$99:E140))</f>
        <v>294561.13999999966</v>
      </c>
      <c r="E141" s="165">
        <f>IF(+J96&lt;F140,J96,D141)</f>
        <v>109044</v>
      </c>
      <c r="F141" s="163">
        <f t="shared" si="30"/>
        <v>185517.13999999966</v>
      </c>
      <c r="G141" s="163">
        <f t="shared" si="31"/>
        <v>240039.13999999966</v>
      </c>
      <c r="H141" s="167">
        <f t="shared" si="28"/>
        <v>133704.55710854588</v>
      </c>
      <c r="I141" s="312">
        <f t="shared" si="29"/>
        <v>133704.55710854588</v>
      </c>
      <c r="J141" s="162">
        <f t="shared" si="32"/>
        <v>0</v>
      </c>
      <c r="K141" s="162"/>
      <c r="L141" s="330"/>
      <c r="M141" s="162">
        <f t="shared" si="33"/>
        <v>0</v>
      </c>
      <c r="N141" s="330"/>
      <c r="O141" s="162">
        <f t="shared" si="34"/>
        <v>0</v>
      </c>
      <c r="P141" s="162">
        <f t="shared" si="35"/>
        <v>0</v>
      </c>
    </row>
    <row r="142" spans="2:16">
      <c r="B142" s="9" t="str">
        <f t="shared" si="24"/>
        <v/>
      </c>
      <c r="C142" s="157">
        <f>IF(D93="","-",+C141+1)</f>
        <v>2052</v>
      </c>
      <c r="D142" s="158">
        <f>IF(F141+SUM(E$99:E141)=D$92,F141,D$92-SUM(E$99:E141))</f>
        <v>185517.13999999966</v>
      </c>
      <c r="E142" s="165">
        <f>IF(+J96&lt;F141,J96,D142)</f>
        <v>109044</v>
      </c>
      <c r="F142" s="163">
        <f t="shared" si="30"/>
        <v>76473.139999999665</v>
      </c>
      <c r="G142" s="163">
        <f t="shared" si="31"/>
        <v>130995.13999999966</v>
      </c>
      <c r="H142" s="167">
        <f t="shared" si="28"/>
        <v>122501.85995947145</v>
      </c>
      <c r="I142" s="312">
        <f t="shared" si="29"/>
        <v>122501.85995947145</v>
      </c>
      <c r="J142" s="162">
        <f t="shared" si="32"/>
        <v>0</v>
      </c>
      <c r="K142" s="162"/>
      <c r="L142" s="330"/>
      <c r="M142" s="162">
        <f t="shared" si="33"/>
        <v>0</v>
      </c>
      <c r="N142" s="330"/>
      <c r="O142" s="162">
        <f t="shared" si="34"/>
        <v>0</v>
      </c>
      <c r="P142" s="162">
        <f t="shared" si="35"/>
        <v>0</v>
      </c>
    </row>
    <row r="143" spans="2:16">
      <c r="B143" s="9" t="str">
        <f t="shared" si="24"/>
        <v/>
      </c>
      <c r="C143" s="157">
        <f>IF(D93="","-",+C142+1)</f>
        <v>2053</v>
      </c>
      <c r="D143" s="158">
        <f>IF(F142+SUM(E$99:E142)=D$92,F142,D$92-SUM(E$99:E142))</f>
        <v>76473.139999999665</v>
      </c>
      <c r="E143" s="165">
        <f>IF(+J96&lt;F142,J96,D143)</f>
        <v>76473.139999999665</v>
      </c>
      <c r="F143" s="163">
        <f t="shared" si="30"/>
        <v>0</v>
      </c>
      <c r="G143" s="163">
        <f t="shared" si="31"/>
        <v>38236.569999999832</v>
      </c>
      <c r="H143" s="167">
        <f t="shared" si="28"/>
        <v>80401.395692466773</v>
      </c>
      <c r="I143" s="312">
        <f t="shared" si="29"/>
        <v>80401.395692466773</v>
      </c>
      <c r="J143" s="162">
        <f t="shared" si="32"/>
        <v>0</v>
      </c>
      <c r="K143" s="162"/>
      <c r="L143" s="330"/>
      <c r="M143" s="162">
        <f t="shared" si="33"/>
        <v>0</v>
      </c>
      <c r="N143" s="330"/>
      <c r="O143" s="162">
        <f t="shared" si="34"/>
        <v>0</v>
      </c>
      <c r="P143" s="162">
        <f t="shared" si="35"/>
        <v>0</v>
      </c>
    </row>
    <row r="144" spans="2:16">
      <c r="B144" s="9" t="str">
        <f t="shared" si="24"/>
        <v/>
      </c>
      <c r="C144" s="157">
        <f>IF(D93="","-",+C143+1)</f>
        <v>2054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0"/>
        <v>0</v>
      </c>
      <c r="G144" s="163">
        <f t="shared" si="31"/>
        <v>0</v>
      </c>
      <c r="H144" s="167">
        <f t="shared" si="28"/>
        <v>0</v>
      </c>
      <c r="I144" s="312">
        <f t="shared" si="29"/>
        <v>0</v>
      </c>
      <c r="J144" s="162">
        <f t="shared" si="32"/>
        <v>0</v>
      </c>
      <c r="K144" s="162"/>
      <c r="L144" s="330"/>
      <c r="M144" s="162">
        <f t="shared" si="33"/>
        <v>0</v>
      </c>
      <c r="N144" s="330"/>
      <c r="O144" s="162">
        <f t="shared" si="34"/>
        <v>0</v>
      </c>
      <c r="P144" s="162">
        <f t="shared" si="35"/>
        <v>0</v>
      </c>
    </row>
    <row r="145" spans="2:16">
      <c r="B145" s="9" t="str">
        <f t="shared" si="24"/>
        <v/>
      </c>
      <c r="C145" s="157">
        <f>IF(D93="","-",+C144+1)</f>
        <v>2055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0"/>
        <v>0</v>
      </c>
      <c r="G145" s="163">
        <f t="shared" si="31"/>
        <v>0</v>
      </c>
      <c r="H145" s="167">
        <f t="shared" si="28"/>
        <v>0</v>
      </c>
      <c r="I145" s="312">
        <f t="shared" si="29"/>
        <v>0</v>
      </c>
      <c r="J145" s="162">
        <f t="shared" si="32"/>
        <v>0</v>
      </c>
      <c r="K145" s="162"/>
      <c r="L145" s="330"/>
      <c r="M145" s="162">
        <f t="shared" si="33"/>
        <v>0</v>
      </c>
      <c r="N145" s="330"/>
      <c r="O145" s="162">
        <f t="shared" si="34"/>
        <v>0</v>
      </c>
      <c r="P145" s="162">
        <f t="shared" si="35"/>
        <v>0</v>
      </c>
    </row>
    <row r="146" spans="2:16">
      <c r="B146" s="9" t="str">
        <f t="shared" si="24"/>
        <v/>
      </c>
      <c r="C146" s="157">
        <f>IF(D93="","-",+C145+1)</f>
        <v>2056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0"/>
        <v>0</v>
      </c>
      <c r="G146" s="163">
        <f t="shared" si="31"/>
        <v>0</v>
      </c>
      <c r="H146" s="167">
        <f t="shared" si="28"/>
        <v>0</v>
      </c>
      <c r="I146" s="312">
        <f t="shared" si="29"/>
        <v>0</v>
      </c>
      <c r="J146" s="162">
        <f t="shared" si="32"/>
        <v>0</v>
      </c>
      <c r="K146" s="162"/>
      <c r="L146" s="330"/>
      <c r="M146" s="162">
        <f t="shared" si="33"/>
        <v>0</v>
      </c>
      <c r="N146" s="330"/>
      <c r="O146" s="162">
        <f t="shared" si="34"/>
        <v>0</v>
      </c>
      <c r="P146" s="162">
        <f t="shared" si="35"/>
        <v>0</v>
      </c>
    </row>
    <row r="147" spans="2:16">
      <c r="B147" s="9" t="str">
        <f t="shared" si="24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0"/>
        <v>0</v>
      </c>
      <c r="G147" s="163">
        <f t="shared" si="31"/>
        <v>0</v>
      </c>
      <c r="H147" s="167">
        <f t="shared" si="28"/>
        <v>0</v>
      </c>
      <c r="I147" s="312">
        <f t="shared" si="29"/>
        <v>0</v>
      </c>
      <c r="J147" s="162">
        <f t="shared" si="32"/>
        <v>0</v>
      </c>
      <c r="K147" s="162"/>
      <c r="L147" s="330"/>
      <c r="M147" s="162">
        <f t="shared" si="33"/>
        <v>0</v>
      </c>
      <c r="N147" s="330"/>
      <c r="O147" s="162">
        <f t="shared" si="34"/>
        <v>0</v>
      </c>
      <c r="P147" s="162">
        <f t="shared" si="35"/>
        <v>0</v>
      </c>
    </row>
    <row r="148" spans="2:16">
      <c r="B148" s="9" t="str">
        <f t="shared" si="24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0"/>
        <v>0</v>
      </c>
      <c r="G148" s="163">
        <f t="shared" si="31"/>
        <v>0</v>
      </c>
      <c r="H148" s="167">
        <f t="shared" si="28"/>
        <v>0</v>
      </c>
      <c r="I148" s="312">
        <f t="shared" si="29"/>
        <v>0</v>
      </c>
      <c r="J148" s="162">
        <f t="shared" si="32"/>
        <v>0</v>
      </c>
      <c r="K148" s="162"/>
      <c r="L148" s="330"/>
      <c r="M148" s="162">
        <f t="shared" si="33"/>
        <v>0</v>
      </c>
      <c r="N148" s="330"/>
      <c r="O148" s="162">
        <f t="shared" si="34"/>
        <v>0</v>
      </c>
      <c r="P148" s="162">
        <f t="shared" si="35"/>
        <v>0</v>
      </c>
    </row>
    <row r="149" spans="2:16">
      <c r="B149" s="9" t="str">
        <f t="shared" si="24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0"/>
        <v>0</v>
      </c>
      <c r="G149" s="163">
        <f t="shared" si="31"/>
        <v>0</v>
      </c>
      <c r="H149" s="167">
        <f t="shared" si="28"/>
        <v>0</v>
      </c>
      <c r="I149" s="312">
        <f t="shared" si="29"/>
        <v>0</v>
      </c>
      <c r="J149" s="162">
        <f t="shared" si="32"/>
        <v>0</v>
      </c>
      <c r="K149" s="162"/>
      <c r="L149" s="330"/>
      <c r="M149" s="162">
        <f t="shared" si="33"/>
        <v>0</v>
      </c>
      <c r="N149" s="330"/>
      <c r="O149" s="162">
        <f t="shared" si="34"/>
        <v>0</v>
      </c>
      <c r="P149" s="162">
        <f t="shared" si="35"/>
        <v>0</v>
      </c>
    </row>
    <row r="150" spans="2:16">
      <c r="B150" s="9" t="str">
        <f t="shared" si="24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0"/>
        <v>0</v>
      </c>
      <c r="G150" s="163">
        <f t="shared" si="31"/>
        <v>0</v>
      </c>
      <c r="H150" s="167">
        <f t="shared" si="28"/>
        <v>0</v>
      </c>
      <c r="I150" s="312">
        <f t="shared" si="29"/>
        <v>0</v>
      </c>
      <c r="J150" s="162">
        <f t="shared" si="32"/>
        <v>0</v>
      </c>
      <c r="K150" s="162"/>
      <c r="L150" s="330"/>
      <c r="M150" s="162">
        <f t="shared" si="33"/>
        <v>0</v>
      </c>
      <c r="N150" s="330"/>
      <c r="O150" s="162">
        <f t="shared" si="34"/>
        <v>0</v>
      </c>
      <c r="P150" s="162">
        <f t="shared" si="35"/>
        <v>0</v>
      </c>
    </row>
    <row r="151" spans="2:16">
      <c r="B151" s="9" t="str">
        <f t="shared" si="24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0"/>
        <v>0</v>
      </c>
      <c r="G151" s="163">
        <f t="shared" si="31"/>
        <v>0</v>
      </c>
      <c r="H151" s="167">
        <f t="shared" si="28"/>
        <v>0</v>
      </c>
      <c r="I151" s="312">
        <f t="shared" si="29"/>
        <v>0</v>
      </c>
      <c r="J151" s="162">
        <f t="shared" si="32"/>
        <v>0</v>
      </c>
      <c r="K151" s="162"/>
      <c r="L151" s="330"/>
      <c r="M151" s="162">
        <f t="shared" si="33"/>
        <v>0</v>
      </c>
      <c r="N151" s="330"/>
      <c r="O151" s="162">
        <f t="shared" si="34"/>
        <v>0</v>
      </c>
      <c r="P151" s="162">
        <f t="shared" si="35"/>
        <v>0</v>
      </c>
    </row>
    <row r="152" spans="2:16">
      <c r="B152" s="9" t="str">
        <f t="shared" si="24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0"/>
        <v>0</v>
      </c>
      <c r="G152" s="163">
        <f t="shared" si="31"/>
        <v>0</v>
      </c>
      <c r="H152" s="167">
        <f t="shared" si="28"/>
        <v>0</v>
      </c>
      <c r="I152" s="312">
        <f t="shared" si="29"/>
        <v>0</v>
      </c>
      <c r="J152" s="162">
        <f t="shared" si="32"/>
        <v>0</v>
      </c>
      <c r="K152" s="162"/>
      <c r="L152" s="330"/>
      <c r="M152" s="162">
        <f t="shared" si="33"/>
        <v>0</v>
      </c>
      <c r="N152" s="330"/>
      <c r="O152" s="162">
        <f t="shared" si="34"/>
        <v>0</v>
      </c>
      <c r="P152" s="162">
        <f t="shared" si="35"/>
        <v>0</v>
      </c>
    </row>
    <row r="153" spans="2:16">
      <c r="B153" s="9" t="str">
        <f t="shared" si="24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0"/>
        <v>0</v>
      </c>
      <c r="G153" s="163">
        <f t="shared" si="31"/>
        <v>0</v>
      </c>
      <c r="H153" s="167">
        <f t="shared" si="28"/>
        <v>0</v>
      </c>
      <c r="I153" s="312">
        <f t="shared" si="29"/>
        <v>0</v>
      </c>
      <c r="J153" s="162">
        <f t="shared" si="32"/>
        <v>0</v>
      </c>
      <c r="K153" s="162"/>
      <c r="L153" s="330"/>
      <c r="M153" s="162">
        <f t="shared" si="33"/>
        <v>0</v>
      </c>
      <c r="N153" s="330"/>
      <c r="O153" s="162">
        <f t="shared" si="34"/>
        <v>0</v>
      </c>
      <c r="P153" s="162">
        <f t="shared" si="35"/>
        <v>0</v>
      </c>
    </row>
    <row r="154" spans="2:16" ht="13.5" thickBot="1">
      <c r="B154" s="9" t="str">
        <f t="shared" si="24"/>
        <v/>
      </c>
      <c r="C154" s="168">
        <f>IF(D93="","-",+C153+1)</f>
        <v>2064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30"/>
        <v>0</v>
      </c>
      <c r="G154" s="169">
        <f t="shared" si="31"/>
        <v>0</v>
      </c>
      <c r="H154" s="171">
        <f t="shared" si="28"/>
        <v>0</v>
      </c>
      <c r="I154" s="313">
        <f t="shared" si="29"/>
        <v>0</v>
      </c>
      <c r="J154" s="173">
        <f t="shared" si="32"/>
        <v>0</v>
      </c>
      <c r="K154" s="162"/>
      <c r="L154" s="331"/>
      <c r="M154" s="173">
        <f t="shared" si="33"/>
        <v>0</v>
      </c>
      <c r="N154" s="331"/>
      <c r="O154" s="173">
        <f t="shared" si="34"/>
        <v>0</v>
      </c>
      <c r="P154" s="173">
        <f t="shared" si="35"/>
        <v>0</v>
      </c>
    </row>
    <row r="155" spans="2:16">
      <c r="C155" s="158" t="s">
        <v>77</v>
      </c>
      <c r="D155" s="115"/>
      <c r="E155" s="115">
        <f>SUM(E99:E154)</f>
        <v>4688896.1399999997</v>
      </c>
      <c r="F155" s="115"/>
      <c r="G155" s="115"/>
      <c r="H155" s="115">
        <f>SUM(H99:H154)</f>
        <v>16978524.0762024</v>
      </c>
      <c r="I155" s="115">
        <f>SUM(I99:I154)</f>
        <v>16978524.0762024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100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107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78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79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view="pageBreakPreview" topLeftCell="A82" zoomScale="75" zoomScaleNormal="100" zoomScaleSheetLayoutView="75" workbookViewId="0">
      <selection activeCell="L108" sqref="L10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3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1515588.4402280932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1515588.4402280932</v>
      </c>
      <c r="O6" s="1"/>
      <c r="P6" s="1"/>
    </row>
    <row r="7" spans="1:16" ht="13.5" thickBot="1">
      <c r="C7" s="127" t="s">
        <v>46</v>
      </c>
      <c r="D7" s="338" t="s">
        <v>208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81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11456065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2009</v>
      </c>
      <c r="E11" s="141" t="s">
        <v>54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10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254579.22222222222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C17" s="157">
        <f>IF(D11= "","-",D11)</f>
        <v>2009</v>
      </c>
      <c r="D17" s="361">
        <v>9403820</v>
      </c>
      <c r="E17" s="362">
        <v>29572</v>
      </c>
      <c r="F17" s="361">
        <v>9374248</v>
      </c>
      <c r="G17" s="362">
        <v>388620</v>
      </c>
      <c r="H17" s="362">
        <v>388620</v>
      </c>
      <c r="I17" s="160">
        <f t="shared" ref="I17:I48" si="0">H17-G17</f>
        <v>0</v>
      </c>
      <c r="J17" s="160"/>
      <c r="K17" s="333">
        <v>388620</v>
      </c>
      <c r="L17" s="161">
        <f t="shared" ref="L17:L48" si="1">IF(K17&lt;&gt;0,+G17-K17,0)</f>
        <v>0</v>
      </c>
      <c r="M17" s="333">
        <v>388620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66">
        <v>12236959</v>
      </c>
      <c r="E18" s="363">
        <v>219045</v>
      </c>
      <c r="F18" s="366">
        <v>12017913</v>
      </c>
      <c r="G18" s="363">
        <v>1953188</v>
      </c>
      <c r="H18" s="365">
        <v>1953188</v>
      </c>
      <c r="I18" s="160">
        <f t="shared" si="0"/>
        <v>0</v>
      </c>
      <c r="J18" s="160"/>
      <c r="K18" s="333">
        <f t="shared" ref="K18:K23" si="4">G18</f>
        <v>1953188</v>
      </c>
      <c r="L18" s="269">
        <f t="shared" si="1"/>
        <v>0</v>
      </c>
      <c r="M18" s="333">
        <f t="shared" ref="M18:M23" si="5">H18</f>
        <v>1953188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2011</v>
      </c>
      <c r="D19" s="366">
        <v>11983531</v>
      </c>
      <c r="E19" s="363">
        <v>239846.03921568627</v>
      </c>
      <c r="F19" s="366">
        <v>11743684.960784314</v>
      </c>
      <c r="G19" s="363">
        <v>2078241.729976739</v>
      </c>
      <c r="H19" s="365">
        <v>2078241.729976739</v>
      </c>
      <c r="I19" s="160">
        <f t="shared" si="0"/>
        <v>0</v>
      </c>
      <c r="J19" s="160"/>
      <c r="K19" s="333">
        <f t="shared" si="4"/>
        <v>2078241.729976739</v>
      </c>
      <c r="L19" s="269">
        <f t="shared" si="1"/>
        <v>0</v>
      </c>
      <c r="M19" s="333">
        <f t="shared" si="5"/>
        <v>2078241.729976739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2012</v>
      </c>
      <c r="D20" s="366">
        <v>11743684.960784314</v>
      </c>
      <c r="E20" s="363">
        <v>235233.61538461538</v>
      </c>
      <c r="F20" s="366">
        <v>11508451.345399698</v>
      </c>
      <c r="G20" s="363">
        <v>1837287.5395832672</v>
      </c>
      <c r="H20" s="365">
        <v>1837287.5395832672</v>
      </c>
      <c r="I20" s="160">
        <f t="shared" si="0"/>
        <v>0</v>
      </c>
      <c r="J20" s="160"/>
      <c r="K20" s="333">
        <f t="shared" si="4"/>
        <v>1837287.5395832672</v>
      </c>
      <c r="L20" s="269">
        <f t="shared" si="1"/>
        <v>0</v>
      </c>
      <c r="M20" s="333">
        <f t="shared" si="5"/>
        <v>1837287.5395832672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2013</v>
      </c>
      <c r="D21" s="366">
        <v>11508451.345399698</v>
      </c>
      <c r="E21" s="363">
        <v>235233.61538461538</v>
      </c>
      <c r="F21" s="366">
        <v>11273217.730015082</v>
      </c>
      <c r="G21" s="363">
        <v>1845125.3182548014</v>
      </c>
      <c r="H21" s="365">
        <v>1845125.3182548014</v>
      </c>
      <c r="I21" s="160">
        <v>0</v>
      </c>
      <c r="J21" s="160"/>
      <c r="K21" s="333">
        <f t="shared" si="4"/>
        <v>1845125.3182548014</v>
      </c>
      <c r="L21" s="269">
        <f t="shared" ref="L21:L26" si="7">IF(K21&lt;&gt;0,+G21-K21,0)</f>
        <v>0</v>
      </c>
      <c r="M21" s="333">
        <f t="shared" si="5"/>
        <v>1845125.3182548014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66">
        <v>11273217.730015082</v>
      </c>
      <c r="E22" s="363">
        <v>235233.61538461538</v>
      </c>
      <c r="F22" s="366">
        <v>11037984.114630466</v>
      </c>
      <c r="G22" s="363">
        <v>1754708.9063952654</v>
      </c>
      <c r="H22" s="365">
        <v>1754708.9063952654</v>
      </c>
      <c r="I22" s="160">
        <v>0</v>
      </c>
      <c r="J22" s="160"/>
      <c r="K22" s="333">
        <f t="shared" si="4"/>
        <v>1754708.9063952654</v>
      </c>
      <c r="L22" s="269">
        <f t="shared" si="7"/>
        <v>0</v>
      </c>
      <c r="M22" s="333">
        <f t="shared" si="5"/>
        <v>1754708.9063952654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>IU</v>
      </c>
      <c r="C23" s="157">
        <f>IF(D11="","-",+C22+1)</f>
        <v>2015</v>
      </c>
      <c r="D23" s="366">
        <v>10261901.114630468</v>
      </c>
      <c r="E23" s="363">
        <v>220308.94230769231</v>
      </c>
      <c r="F23" s="366">
        <v>10041592.172322776</v>
      </c>
      <c r="G23" s="363">
        <v>1604759.8916783908</v>
      </c>
      <c r="H23" s="365">
        <v>1604759.8916783908</v>
      </c>
      <c r="I23" s="160">
        <v>0</v>
      </c>
      <c r="J23" s="160"/>
      <c r="K23" s="333">
        <f t="shared" si="4"/>
        <v>1604759.8916783908</v>
      </c>
      <c r="L23" s="269">
        <f t="shared" si="7"/>
        <v>0</v>
      </c>
      <c r="M23" s="333">
        <f t="shared" si="5"/>
        <v>1604759.8916783908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66">
        <v>10041592.172322776</v>
      </c>
      <c r="E24" s="363">
        <v>220308.94230769231</v>
      </c>
      <c r="F24" s="366">
        <v>9821283.2300150841</v>
      </c>
      <c r="G24" s="363">
        <v>1508464.8564289983</v>
      </c>
      <c r="H24" s="365">
        <v>1508464.8564289983</v>
      </c>
      <c r="I24" s="160">
        <f t="shared" si="0"/>
        <v>0</v>
      </c>
      <c r="J24" s="160"/>
      <c r="K24" s="333">
        <f>G24</f>
        <v>1508464.8564289983</v>
      </c>
      <c r="L24" s="269">
        <f t="shared" si="7"/>
        <v>0</v>
      </c>
      <c r="M24" s="333">
        <f>H24</f>
        <v>1508464.8564289983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66">
        <v>9821283.2300150841</v>
      </c>
      <c r="E25" s="363">
        <v>249044.89130434784</v>
      </c>
      <c r="F25" s="366">
        <v>9572238.3387107365</v>
      </c>
      <c r="G25" s="363">
        <v>1467214.2093174371</v>
      </c>
      <c r="H25" s="365">
        <v>1467214.2093174371</v>
      </c>
      <c r="I25" s="160">
        <f t="shared" si="0"/>
        <v>0</v>
      </c>
      <c r="J25" s="160"/>
      <c r="K25" s="333">
        <f>G25</f>
        <v>1467214.2093174371</v>
      </c>
      <c r="L25" s="269">
        <f t="shared" si="7"/>
        <v>0</v>
      </c>
      <c r="M25" s="333">
        <f>H25</f>
        <v>1467214.2093174371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66">
        <v>9572238.3387107365</v>
      </c>
      <c r="E26" s="363">
        <v>254579.22222222222</v>
      </c>
      <c r="F26" s="366">
        <v>9317659.1164885145</v>
      </c>
      <c r="G26" s="363">
        <v>1515588.4402280932</v>
      </c>
      <c r="H26" s="365">
        <v>1515588.4402280932</v>
      </c>
      <c r="I26" s="160">
        <f t="shared" si="0"/>
        <v>0</v>
      </c>
      <c r="J26" s="160"/>
      <c r="K26" s="333">
        <f>G26</f>
        <v>1515588.4402280932</v>
      </c>
      <c r="L26" s="269">
        <f t="shared" si="7"/>
        <v>0</v>
      </c>
      <c r="M26" s="333">
        <f>H26</f>
        <v>1515588.4402280932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166">
        <f>IF(F26+SUM(E$17:E26)=D$10,F26,D$10-SUM(E$17:E26))</f>
        <v>9317659.1164885145</v>
      </c>
      <c r="E27" s="164">
        <f>IF(+I14&lt;F26,I14,D27)</f>
        <v>254579.22222222222</v>
      </c>
      <c r="F27" s="163">
        <f t="shared" ref="F27:F72" si="10">+D27-E27</f>
        <v>9063079.8942662925</v>
      </c>
      <c r="G27" s="165">
        <f t="shared" ref="G27:G72" si="11">+I$12*F27+E27</f>
        <v>1481134.8567774065</v>
      </c>
      <c r="H27" s="147">
        <f t="shared" ref="H27:H72" si="12">+I$13*F27+E27</f>
        <v>1481134.8567774065</v>
      </c>
      <c r="I27" s="160">
        <f t="shared" si="0"/>
        <v>0</v>
      </c>
      <c r="J27" s="160"/>
      <c r="K27" s="330"/>
      <c r="L27" s="162">
        <f t="shared" si="1"/>
        <v>0</v>
      </c>
      <c r="M27" s="330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3">
        <f>IF(F27+SUM(E$17:E27)=D$10,F27,D$10-SUM(E$17:E27))</f>
        <v>9063079.8942662925</v>
      </c>
      <c r="E28" s="164">
        <f>IF(+I14&lt;F27,I14,D28)</f>
        <v>254579.22222222222</v>
      </c>
      <c r="F28" s="163">
        <f t="shared" si="10"/>
        <v>8808500.6720440704</v>
      </c>
      <c r="G28" s="165">
        <f t="shared" si="11"/>
        <v>1446681.2733267201</v>
      </c>
      <c r="H28" s="147">
        <f t="shared" si="12"/>
        <v>1446681.2733267201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3">
        <f>IF(F28+SUM(E$17:E28)=D$10,F28,D$10-SUM(E$17:E28))</f>
        <v>8808500.6720440704</v>
      </c>
      <c r="E29" s="164">
        <f>IF(+I14&lt;F28,I14,D29)</f>
        <v>254579.22222222222</v>
      </c>
      <c r="F29" s="163">
        <f t="shared" si="10"/>
        <v>8553921.4498218484</v>
      </c>
      <c r="G29" s="165">
        <f t="shared" si="11"/>
        <v>1412227.6898760335</v>
      </c>
      <c r="H29" s="147">
        <f t="shared" si="12"/>
        <v>1412227.6898760335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3">
        <f>IF(F29+SUM(E$17:E29)=D$10,F29,D$10-SUM(E$17:E29))</f>
        <v>8553921.4498218484</v>
      </c>
      <c r="E30" s="164">
        <f>IF(+I14&lt;F29,I14,D30)</f>
        <v>254579.22222222222</v>
      </c>
      <c r="F30" s="163">
        <f t="shared" si="10"/>
        <v>8299342.2275996264</v>
      </c>
      <c r="G30" s="165">
        <f t="shared" si="11"/>
        <v>1377774.106425347</v>
      </c>
      <c r="H30" s="147">
        <f t="shared" si="12"/>
        <v>1377774.106425347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3">
        <f>IF(F30+SUM(E$17:E30)=D$10,F30,D$10-SUM(E$17:E30))</f>
        <v>8299342.2275996264</v>
      </c>
      <c r="E31" s="164">
        <f>IF(+I14&lt;F30,I14,D31)</f>
        <v>254579.22222222222</v>
      </c>
      <c r="F31" s="163">
        <f t="shared" si="10"/>
        <v>8044763.0053774044</v>
      </c>
      <c r="G31" s="165">
        <f t="shared" si="11"/>
        <v>1343320.5229746606</v>
      </c>
      <c r="H31" s="147">
        <f t="shared" si="12"/>
        <v>1343320.5229746606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3">
        <f>IF(F31+SUM(E$17:E31)=D$10,F31,D$10-SUM(E$17:E31))</f>
        <v>8044763.0053774044</v>
      </c>
      <c r="E32" s="164">
        <f>IF(+I14&lt;F31,I14,D32)</f>
        <v>254579.22222222222</v>
      </c>
      <c r="F32" s="163">
        <f t="shared" si="10"/>
        <v>7790183.7831551824</v>
      </c>
      <c r="G32" s="165">
        <f t="shared" si="11"/>
        <v>1308866.939523974</v>
      </c>
      <c r="H32" s="147">
        <f t="shared" si="12"/>
        <v>1308866.939523974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3">
        <f>IF(F32+SUM(E$17:E32)=D$10,F32,D$10-SUM(E$17:E32))</f>
        <v>7790183.7831551824</v>
      </c>
      <c r="E33" s="164">
        <f>IF(+I14&lt;F32,I14,D33)</f>
        <v>254579.22222222222</v>
      </c>
      <c r="F33" s="163">
        <f t="shared" si="10"/>
        <v>7535604.5609329604</v>
      </c>
      <c r="G33" s="165">
        <f t="shared" si="11"/>
        <v>1274413.3560732875</v>
      </c>
      <c r="H33" s="147">
        <f t="shared" si="12"/>
        <v>1274413.3560732875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3">
        <f>IF(F33+SUM(E$17:E33)=D$10,F33,D$10-SUM(E$17:E33))</f>
        <v>7535604.5609329604</v>
      </c>
      <c r="E34" s="164">
        <f>IF(+I14&lt;F33,I14,D34)</f>
        <v>254579.22222222222</v>
      </c>
      <c r="F34" s="163">
        <f t="shared" si="10"/>
        <v>7281025.3387107383</v>
      </c>
      <c r="G34" s="165">
        <f t="shared" si="11"/>
        <v>1239959.7726226009</v>
      </c>
      <c r="H34" s="147">
        <f t="shared" si="12"/>
        <v>1239959.7726226009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3">
        <f>IF(F34+SUM(E$17:E34)=D$10,F34,D$10-SUM(E$17:E34))</f>
        <v>7281025.3387107383</v>
      </c>
      <c r="E35" s="164">
        <f>IF(+I14&lt;F34,I14,D35)</f>
        <v>254579.22222222222</v>
      </c>
      <c r="F35" s="163">
        <f t="shared" si="10"/>
        <v>7026446.1164885163</v>
      </c>
      <c r="G35" s="165">
        <f t="shared" si="11"/>
        <v>1205506.1891719145</v>
      </c>
      <c r="H35" s="147">
        <f t="shared" si="12"/>
        <v>1205506.1891719145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3">
        <f>IF(F35+SUM(E$17:E35)=D$10,F35,D$10-SUM(E$17:E35))</f>
        <v>7026446.1164885163</v>
      </c>
      <c r="E36" s="164">
        <f>IF(+I14&lt;F35,I14,D36)</f>
        <v>254579.22222222222</v>
      </c>
      <c r="F36" s="163">
        <f t="shared" si="10"/>
        <v>6771866.8942662943</v>
      </c>
      <c r="G36" s="165">
        <f t="shared" si="11"/>
        <v>1171052.6057212278</v>
      </c>
      <c r="H36" s="147">
        <f t="shared" si="12"/>
        <v>1171052.6057212278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3">
        <f>IF(F36+SUM(E$17:E36)=D$10,F36,D$10-SUM(E$17:E36))</f>
        <v>6771866.8942662943</v>
      </c>
      <c r="E37" s="164">
        <f>IF(+I14&lt;F36,I14,D37)</f>
        <v>254579.22222222222</v>
      </c>
      <c r="F37" s="163">
        <f t="shared" si="10"/>
        <v>6517287.6720440723</v>
      </c>
      <c r="G37" s="165">
        <f t="shared" si="11"/>
        <v>1136599.0222705414</v>
      </c>
      <c r="H37" s="147">
        <f t="shared" si="12"/>
        <v>1136599.0222705414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3">
        <f>IF(F37+SUM(E$17:E37)=D$10,F37,D$10-SUM(E$17:E37))</f>
        <v>6517287.6720440723</v>
      </c>
      <c r="E38" s="164">
        <f>IF(+I14&lt;F37,I14,D38)</f>
        <v>254579.22222222222</v>
      </c>
      <c r="F38" s="163">
        <f t="shared" si="10"/>
        <v>6262708.4498218503</v>
      </c>
      <c r="G38" s="165">
        <f t="shared" si="11"/>
        <v>1102145.438819855</v>
      </c>
      <c r="H38" s="147">
        <f t="shared" si="12"/>
        <v>1102145.438819855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3">
        <f>IF(F38+SUM(E$17:E38)=D$10,F38,D$10-SUM(E$17:E38))</f>
        <v>6262708.4498218503</v>
      </c>
      <c r="E39" s="164">
        <f>IF(+I14&lt;F38,I14,D39)</f>
        <v>254579.22222222222</v>
      </c>
      <c r="F39" s="163">
        <f t="shared" si="10"/>
        <v>6008129.2275996283</v>
      </c>
      <c r="G39" s="165">
        <f t="shared" si="11"/>
        <v>1067691.8553691683</v>
      </c>
      <c r="H39" s="147">
        <f t="shared" si="12"/>
        <v>1067691.8553691683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3">
        <f>IF(F39+SUM(E$17:E39)=D$10,F39,D$10-SUM(E$17:E39))</f>
        <v>6008129.2275996283</v>
      </c>
      <c r="E40" s="164">
        <f>IF(+I14&lt;F39,I14,D40)</f>
        <v>254579.22222222222</v>
      </c>
      <c r="F40" s="163">
        <f t="shared" si="10"/>
        <v>5753550.0053774063</v>
      </c>
      <c r="G40" s="165">
        <f t="shared" si="11"/>
        <v>1033238.2719184819</v>
      </c>
      <c r="H40" s="147">
        <f t="shared" si="12"/>
        <v>1033238.2719184819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3">
        <f>IF(F40+SUM(E$17:E40)=D$10,F40,D$10-SUM(E$17:E40))</f>
        <v>5753550.0053774063</v>
      </c>
      <c r="E41" s="164">
        <f>IF(+I14&lt;F40,I14,D41)</f>
        <v>254579.22222222222</v>
      </c>
      <c r="F41" s="163">
        <f t="shared" si="10"/>
        <v>5498970.7831551842</v>
      </c>
      <c r="G41" s="165">
        <f t="shared" si="11"/>
        <v>998784.68846779538</v>
      </c>
      <c r="H41" s="147">
        <f t="shared" si="12"/>
        <v>998784.68846779538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3">
        <f>IF(F41+SUM(E$17:E41)=D$10,F41,D$10-SUM(E$17:E41))</f>
        <v>5498970.7831551842</v>
      </c>
      <c r="E42" s="164">
        <f>IF(+I14&lt;F41,I14,D42)</f>
        <v>254579.22222222222</v>
      </c>
      <c r="F42" s="163">
        <f t="shared" si="10"/>
        <v>5244391.5609329622</v>
      </c>
      <c r="G42" s="165">
        <f t="shared" si="11"/>
        <v>964331.10501710884</v>
      </c>
      <c r="H42" s="147">
        <f t="shared" si="12"/>
        <v>964331.10501710884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3">
        <f>IF(F42+SUM(E$17:E42)=D$10,F42,D$10-SUM(E$17:E42))</f>
        <v>5244391.5609329622</v>
      </c>
      <c r="E43" s="164">
        <f>IF(+I14&lt;F42,I14,D43)</f>
        <v>254579.22222222222</v>
      </c>
      <c r="F43" s="163">
        <f t="shared" si="10"/>
        <v>4989812.3387107402</v>
      </c>
      <c r="G43" s="165">
        <f t="shared" si="11"/>
        <v>929877.52156642242</v>
      </c>
      <c r="H43" s="147">
        <f t="shared" si="12"/>
        <v>929877.52156642242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3">
        <f>IF(F43+SUM(E$17:E43)=D$10,F43,D$10-SUM(E$17:E43))</f>
        <v>4989812.3387107402</v>
      </c>
      <c r="E44" s="164">
        <f>IF(+I14&lt;F43,I14,D44)</f>
        <v>254579.22222222222</v>
      </c>
      <c r="F44" s="163">
        <f t="shared" si="10"/>
        <v>4735233.1164885182</v>
      </c>
      <c r="G44" s="165">
        <f t="shared" si="11"/>
        <v>895423.93811573589</v>
      </c>
      <c r="H44" s="147">
        <f t="shared" si="12"/>
        <v>895423.93811573589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3">
        <f>IF(F44+SUM(E$17:E44)=D$10,F44,D$10-SUM(E$17:E44))</f>
        <v>4735233.1164885182</v>
      </c>
      <c r="E45" s="164">
        <f>IF(+I14&lt;F44,I14,D45)</f>
        <v>254579.22222222222</v>
      </c>
      <c r="F45" s="163">
        <f t="shared" si="10"/>
        <v>4480653.8942662962</v>
      </c>
      <c r="G45" s="165">
        <f t="shared" si="11"/>
        <v>860970.35466504935</v>
      </c>
      <c r="H45" s="147">
        <f t="shared" si="12"/>
        <v>860970.35466504935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3">
        <f>IF(F45+SUM(E$17:E45)=D$10,F45,D$10-SUM(E$17:E45))</f>
        <v>4480653.8942662962</v>
      </c>
      <c r="E46" s="164">
        <f>IF(+I14&lt;F45,I14,D46)</f>
        <v>254579.22222222222</v>
      </c>
      <c r="F46" s="163">
        <f t="shared" si="10"/>
        <v>4226074.6720440742</v>
      </c>
      <c r="G46" s="165">
        <f t="shared" si="11"/>
        <v>826516.77121436282</v>
      </c>
      <c r="H46" s="147">
        <f t="shared" si="12"/>
        <v>826516.77121436282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3">
        <f>IF(F46+SUM(E$17:E46)=D$10,F46,D$10-SUM(E$17:E46))</f>
        <v>4226074.6720440742</v>
      </c>
      <c r="E47" s="164">
        <f>IF(+I14&lt;F46,I14,D47)</f>
        <v>254579.22222222222</v>
      </c>
      <c r="F47" s="163">
        <f t="shared" si="10"/>
        <v>3971495.4498218521</v>
      </c>
      <c r="G47" s="165">
        <f t="shared" si="11"/>
        <v>792063.18776367628</v>
      </c>
      <c r="H47" s="147">
        <f t="shared" si="12"/>
        <v>792063.18776367628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3">
        <f>IF(F47+SUM(E$17:E47)=D$10,F47,D$10-SUM(E$17:E47))</f>
        <v>3971495.4498218521</v>
      </c>
      <c r="E48" s="164">
        <f>IF(+I14&lt;F47,I14,D48)</f>
        <v>254579.22222222222</v>
      </c>
      <c r="F48" s="163">
        <f t="shared" si="10"/>
        <v>3716916.2275996301</v>
      </c>
      <c r="G48" s="165">
        <f t="shared" si="11"/>
        <v>757609.60431298974</v>
      </c>
      <c r="H48" s="147">
        <f t="shared" si="12"/>
        <v>757609.60431298974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3">
        <f>IF(F48+SUM(E$17:E48)=D$10,F48,D$10-SUM(E$17:E48))</f>
        <v>3716916.2275996301</v>
      </c>
      <c r="E49" s="164">
        <f>IF(+I14&lt;F48,I14,D49)</f>
        <v>254579.22222222222</v>
      </c>
      <c r="F49" s="163">
        <f t="shared" si="10"/>
        <v>3462337.0053774081</v>
      </c>
      <c r="G49" s="165">
        <f t="shared" si="11"/>
        <v>723156.02086230321</v>
      </c>
      <c r="H49" s="147">
        <f t="shared" si="12"/>
        <v>723156.02086230321</v>
      </c>
      <c r="I49" s="160">
        <f t="shared" ref="I49:I72" si="13">H303-G303</f>
        <v>0</v>
      </c>
      <c r="J49" s="160"/>
      <c r="K49" s="330"/>
      <c r="L49" s="162">
        <f t="shared" ref="L49:L72" si="14">IF(K303&lt;&gt;0,+G303-K303,0)</f>
        <v>0</v>
      </c>
      <c r="M49" s="330"/>
      <c r="N49" s="162">
        <f t="shared" ref="N49:N72" si="15">IF(M303&lt;&gt;0,+H303-M303,0)</f>
        <v>0</v>
      </c>
      <c r="O49" s="162">
        <f t="shared" ref="O49:O72" si="16">+N303-L303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3">
        <f>IF(F49+SUM(E$17:E49)=D$10,F49,D$10-SUM(E$17:E49))</f>
        <v>3462337.0053774081</v>
      </c>
      <c r="E50" s="164">
        <f>IF(+I14&lt;F49,I14,D50)</f>
        <v>254579.22222222222</v>
      </c>
      <c r="F50" s="163">
        <f t="shared" si="10"/>
        <v>3207757.7831551861</v>
      </c>
      <c r="G50" s="165">
        <f t="shared" si="11"/>
        <v>688702.43741161679</v>
      </c>
      <c r="H50" s="147">
        <f t="shared" si="12"/>
        <v>688702.43741161679</v>
      </c>
      <c r="I50" s="160">
        <f t="shared" si="13"/>
        <v>0</v>
      </c>
      <c r="J50" s="160"/>
      <c r="K50" s="330"/>
      <c r="L50" s="162">
        <f t="shared" si="14"/>
        <v>0</v>
      </c>
      <c r="M50" s="330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3">
        <f>IF(F50+SUM(E$17:E50)=D$10,F50,D$10-SUM(E$17:E50))</f>
        <v>3207757.7831551861</v>
      </c>
      <c r="E51" s="164">
        <f>IF(+I14&lt;F50,I14,D51)</f>
        <v>254579.22222222222</v>
      </c>
      <c r="F51" s="163">
        <f t="shared" si="10"/>
        <v>2953178.5609329641</v>
      </c>
      <c r="G51" s="165">
        <f t="shared" si="11"/>
        <v>654248.85396093025</v>
      </c>
      <c r="H51" s="147">
        <f t="shared" si="12"/>
        <v>654248.85396093025</v>
      </c>
      <c r="I51" s="160">
        <f t="shared" si="13"/>
        <v>0</v>
      </c>
      <c r="J51" s="160"/>
      <c r="K51" s="330"/>
      <c r="L51" s="162">
        <f t="shared" si="14"/>
        <v>0</v>
      </c>
      <c r="M51" s="330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3">
        <f>IF(F51+SUM(E$17:E51)=D$10,F51,D$10-SUM(E$17:E51))</f>
        <v>2953178.5609329641</v>
      </c>
      <c r="E52" s="164">
        <f>IF(+I14&lt;F51,I14,D52)</f>
        <v>254579.22222222222</v>
      </c>
      <c r="F52" s="163">
        <f t="shared" si="10"/>
        <v>2698599.3387107421</v>
      </c>
      <c r="G52" s="165">
        <f t="shared" si="11"/>
        <v>619795.27051024372</v>
      </c>
      <c r="H52" s="147">
        <f t="shared" si="12"/>
        <v>619795.27051024372</v>
      </c>
      <c r="I52" s="160">
        <f t="shared" si="13"/>
        <v>0</v>
      </c>
      <c r="J52" s="160"/>
      <c r="K52" s="330"/>
      <c r="L52" s="162">
        <f t="shared" si="14"/>
        <v>0</v>
      </c>
      <c r="M52" s="330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3">
        <f>IF(F52+SUM(E$17:E52)=D$10,F52,D$10-SUM(E$17:E52))</f>
        <v>2698599.3387107421</v>
      </c>
      <c r="E53" s="164">
        <f>IF(+I14&lt;F52,I14,D53)</f>
        <v>254579.22222222222</v>
      </c>
      <c r="F53" s="163">
        <f t="shared" si="10"/>
        <v>2444020.1164885201</v>
      </c>
      <c r="G53" s="165">
        <f t="shared" si="11"/>
        <v>585341.68705955718</v>
      </c>
      <c r="H53" s="147">
        <f t="shared" si="12"/>
        <v>585341.68705955718</v>
      </c>
      <c r="I53" s="160">
        <f t="shared" si="13"/>
        <v>0</v>
      </c>
      <c r="J53" s="160"/>
      <c r="K53" s="330"/>
      <c r="L53" s="162">
        <f t="shared" si="14"/>
        <v>0</v>
      </c>
      <c r="M53" s="330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3">
        <f>IF(F53+SUM(E$17:E53)=D$10,F53,D$10-SUM(E$17:E53))</f>
        <v>2444020.1164885201</v>
      </c>
      <c r="E54" s="164">
        <f>IF(+I14&lt;F53,I14,D54)</f>
        <v>254579.22222222222</v>
      </c>
      <c r="F54" s="163">
        <f t="shared" si="10"/>
        <v>2189440.894266298</v>
      </c>
      <c r="G54" s="165">
        <f t="shared" si="11"/>
        <v>550888.10360887065</v>
      </c>
      <c r="H54" s="147">
        <f t="shared" si="12"/>
        <v>550888.10360887065</v>
      </c>
      <c r="I54" s="160">
        <f t="shared" si="13"/>
        <v>0</v>
      </c>
      <c r="J54" s="160"/>
      <c r="K54" s="330"/>
      <c r="L54" s="162">
        <f t="shared" si="14"/>
        <v>0</v>
      </c>
      <c r="M54" s="330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3">
        <f>IF(F54+SUM(E$17:E54)=D$10,F54,D$10-SUM(E$17:E54))</f>
        <v>2189440.894266298</v>
      </c>
      <c r="E55" s="164">
        <f>IF(+I14&lt;F54,I14,D55)</f>
        <v>254579.22222222222</v>
      </c>
      <c r="F55" s="163">
        <f t="shared" si="10"/>
        <v>1934861.6720440758</v>
      </c>
      <c r="G55" s="165">
        <f t="shared" si="11"/>
        <v>516434.52015818411</v>
      </c>
      <c r="H55" s="147">
        <f t="shared" si="12"/>
        <v>516434.52015818411</v>
      </c>
      <c r="I55" s="160">
        <f t="shared" si="13"/>
        <v>0</v>
      </c>
      <c r="J55" s="160"/>
      <c r="K55" s="330"/>
      <c r="L55" s="162">
        <f t="shared" si="14"/>
        <v>0</v>
      </c>
      <c r="M55" s="330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3">
        <f>IF(F55+SUM(E$17:E55)=D$10,F55,D$10-SUM(E$17:E55))</f>
        <v>1934861.6720440758</v>
      </c>
      <c r="E56" s="164">
        <f>IF(+I14&lt;F55,I14,D56)</f>
        <v>254579.22222222222</v>
      </c>
      <c r="F56" s="163">
        <f t="shared" si="10"/>
        <v>1680282.4498218535</v>
      </c>
      <c r="G56" s="165">
        <f t="shared" si="11"/>
        <v>481980.93670749757</v>
      </c>
      <c r="H56" s="147">
        <f t="shared" si="12"/>
        <v>481980.93670749757</v>
      </c>
      <c r="I56" s="160">
        <f t="shared" si="13"/>
        <v>0</v>
      </c>
      <c r="J56" s="160"/>
      <c r="K56" s="330"/>
      <c r="L56" s="162">
        <f t="shared" si="14"/>
        <v>0</v>
      </c>
      <c r="M56" s="330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3">
        <f>IF(F56+SUM(E$17:E56)=D$10,F56,D$10-SUM(E$17:E56))</f>
        <v>1680282.4498218535</v>
      </c>
      <c r="E57" s="164">
        <f>IF(+I14&lt;F56,I14,D57)</f>
        <v>254579.22222222222</v>
      </c>
      <c r="F57" s="163">
        <f t="shared" si="10"/>
        <v>1425703.2275996313</v>
      </c>
      <c r="G57" s="165">
        <f t="shared" si="11"/>
        <v>447527.35325681104</v>
      </c>
      <c r="H57" s="147">
        <f t="shared" si="12"/>
        <v>447527.35325681104</v>
      </c>
      <c r="I57" s="160">
        <f t="shared" si="13"/>
        <v>0</v>
      </c>
      <c r="J57" s="160"/>
      <c r="K57" s="330"/>
      <c r="L57" s="162">
        <f t="shared" si="14"/>
        <v>0</v>
      </c>
      <c r="M57" s="330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3">
        <f>IF(F57+SUM(E$17:E57)=D$10,F57,D$10-SUM(E$17:E57))</f>
        <v>1425703.2275996313</v>
      </c>
      <c r="E58" s="164">
        <f>IF(+I14&lt;F57,I14,D58)</f>
        <v>254579.22222222222</v>
      </c>
      <c r="F58" s="163">
        <f t="shared" si="10"/>
        <v>1171124.005377409</v>
      </c>
      <c r="G58" s="165">
        <f t="shared" si="11"/>
        <v>413073.7698061245</v>
      </c>
      <c r="H58" s="147">
        <f t="shared" si="12"/>
        <v>413073.7698061245</v>
      </c>
      <c r="I58" s="160">
        <f t="shared" si="13"/>
        <v>0</v>
      </c>
      <c r="J58" s="160"/>
      <c r="K58" s="330"/>
      <c r="L58" s="162">
        <f t="shared" si="14"/>
        <v>0</v>
      </c>
      <c r="M58" s="330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3">
        <f>IF(F58+SUM(E$17:E58)=D$10,F58,D$10-SUM(E$17:E58))</f>
        <v>1171124.005377409</v>
      </c>
      <c r="E59" s="164">
        <f>IF(+I14&lt;F58,I14,D59)</f>
        <v>254579.22222222222</v>
      </c>
      <c r="F59" s="163">
        <f t="shared" si="10"/>
        <v>916544.7831551868</v>
      </c>
      <c r="G59" s="165">
        <f t="shared" si="11"/>
        <v>378620.18635543797</v>
      </c>
      <c r="H59" s="147">
        <f t="shared" si="12"/>
        <v>378620.18635543797</v>
      </c>
      <c r="I59" s="160">
        <f t="shared" si="13"/>
        <v>0</v>
      </c>
      <c r="J59" s="160"/>
      <c r="K59" s="330"/>
      <c r="L59" s="162">
        <f t="shared" si="14"/>
        <v>0</v>
      </c>
      <c r="M59" s="330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3">
        <f>IF(F59+SUM(E$17:E59)=D$10,F59,D$10-SUM(E$17:E59))</f>
        <v>916544.7831551868</v>
      </c>
      <c r="E60" s="164">
        <f>IF(+I14&lt;F59,I14,D60)</f>
        <v>254579.22222222222</v>
      </c>
      <c r="F60" s="163">
        <f t="shared" si="10"/>
        <v>661965.56093296455</v>
      </c>
      <c r="G60" s="165">
        <f t="shared" si="11"/>
        <v>344166.60290475143</v>
      </c>
      <c r="H60" s="147">
        <f t="shared" si="12"/>
        <v>344166.60290475143</v>
      </c>
      <c r="I60" s="160">
        <f t="shared" si="13"/>
        <v>0</v>
      </c>
      <c r="J60" s="160"/>
      <c r="K60" s="330"/>
      <c r="L60" s="162">
        <f t="shared" si="14"/>
        <v>0</v>
      </c>
      <c r="M60" s="330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3">
        <f>IF(F60+SUM(E$17:E60)=D$10,F60,D$10-SUM(E$17:E60))</f>
        <v>661965.56093296455</v>
      </c>
      <c r="E61" s="164">
        <f>IF(+I14&lt;F60,I14,D61)</f>
        <v>254579.22222222222</v>
      </c>
      <c r="F61" s="163">
        <f t="shared" si="10"/>
        <v>407386.3387107423</v>
      </c>
      <c r="G61" s="167">
        <f t="shared" si="11"/>
        <v>309713.0194540649</v>
      </c>
      <c r="H61" s="147">
        <f t="shared" si="12"/>
        <v>309713.0194540649</v>
      </c>
      <c r="I61" s="160">
        <f t="shared" si="13"/>
        <v>0</v>
      </c>
      <c r="J61" s="160"/>
      <c r="K61" s="330"/>
      <c r="L61" s="162">
        <f t="shared" si="14"/>
        <v>0</v>
      </c>
      <c r="M61" s="330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3">
        <f>IF(F61+SUM(E$17:E61)=D$10,F61,D$10-SUM(E$17:E61))</f>
        <v>407386.3387107423</v>
      </c>
      <c r="E62" s="164">
        <f>IF(+I14&lt;F61,I14,D62)</f>
        <v>254579.22222222222</v>
      </c>
      <c r="F62" s="163">
        <f t="shared" si="10"/>
        <v>152807.11648852009</v>
      </c>
      <c r="G62" s="167">
        <f t="shared" si="11"/>
        <v>275259.43600337836</v>
      </c>
      <c r="H62" s="147">
        <f t="shared" si="12"/>
        <v>275259.43600337836</v>
      </c>
      <c r="I62" s="160">
        <f t="shared" si="13"/>
        <v>0</v>
      </c>
      <c r="J62" s="160"/>
      <c r="K62" s="330"/>
      <c r="L62" s="162">
        <f t="shared" si="14"/>
        <v>0</v>
      </c>
      <c r="M62" s="330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3">
        <f>IF(F62+SUM(E$17:E62)=D$10,F62,D$10-SUM(E$17:E62))</f>
        <v>152807.11648852009</v>
      </c>
      <c r="E63" s="164">
        <f>IF(+I14&lt;F62,I14,D63)</f>
        <v>152807.11648852009</v>
      </c>
      <c r="F63" s="163">
        <f t="shared" si="10"/>
        <v>0</v>
      </c>
      <c r="G63" s="167">
        <f t="shared" si="11"/>
        <v>152807.11648852009</v>
      </c>
      <c r="H63" s="147">
        <f t="shared" si="12"/>
        <v>152807.11648852009</v>
      </c>
      <c r="I63" s="160">
        <f t="shared" si="13"/>
        <v>0</v>
      </c>
      <c r="J63" s="160"/>
      <c r="K63" s="330"/>
      <c r="L63" s="162">
        <f t="shared" si="14"/>
        <v>0</v>
      </c>
      <c r="M63" s="330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7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0"/>
      <c r="L64" s="162">
        <f t="shared" si="14"/>
        <v>0</v>
      </c>
      <c r="M64" s="330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7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0"/>
      <c r="L65" s="162">
        <f t="shared" si="14"/>
        <v>0</v>
      </c>
      <c r="M65" s="330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7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0"/>
      <c r="L66" s="162">
        <f t="shared" si="14"/>
        <v>0</v>
      </c>
      <c r="M66" s="330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7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0"/>
      <c r="L67" s="162">
        <f t="shared" si="14"/>
        <v>0</v>
      </c>
      <c r="M67" s="330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7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0"/>
      <c r="L68" s="162">
        <f t="shared" si="14"/>
        <v>0</v>
      </c>
      <c r="M68" s="330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7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0"/>
      <c r="L69" s="162">
        <f t="shared" si="14"/>
        <v>0</v>
      </c>
      <c r="M69" s="330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7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0"/>
      <c r="L70" s="162">
        <f t="shared" si="14"/>
        <v>0</v>
      </c>
      <c r="M70" s="330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7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0"/>
      <c r="L71" s="162">
        <f t="shared" si="14"/>
        <v>0</v>
      </c>
      <c r="M71" s="330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71">
        <f t="shared" si="11"/>
        <v>0</v>
      </c>
      <c r="H72" s="130">
        <f t="shared" si="12"/>
        <v>0</v>
      </c>
      <c r="I72" s="172">
        <f t="shared" si="13"/>
        <v>0</v>
      </c>
      <c r="J72" s="160"/>
      <c r="K72" s="331"/>
      <c r="L72" s="173">
        <f t="shared" si="14"/>
        <v>0</v>
      </c>
      <c r="M72" s="331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77</v>
      </c>
      <c r="D73" s="115"/>
      <c r="E73" s="115">
        <f>SUM(E17:E72)</f>
        <v>11456065</v>
      </c>
      <c r="F73" s="115"/>
      <c r="G73" s="115">
        <f>SUM(G17:G72)</f>
        <v>47721103.278405644</v>
      </c>
      <c r="H73" s="115">
        <f>SUM(H17:H72)</f>
        <v>47721103.278405644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3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1515588.4402280932</v>
      </c>
      <c r="N87" s="202">
        <f>IF(J92&lt;D11,0,VLOOKUP(J92,C17:O72,11))</f>
        <v>1515588.4402280932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1233399.824885203</v>
      </c>
      <c r="N88" s="204">
        <f>IF(J92&lt;D11,0,VLOOKUP(J92,C99:P154,7))</f>
        <v>1233399.824885203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WFEC New 138 kV Ties: Sayre to Erick (WFEC) Line &amp; Atoka and Tupelo station work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-282188.61534289015</v>
      </c>
      <c r="N89" s="207">
        <f>+N88-N87</f>
        <v>-282188.61534289015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TP2006054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11456065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2009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10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266420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2009</v>
      </c>
      <c r="D99" s="361">
        <v>0</v>
      </c>
      <c r="E99" s="363">
        <v>26281</v>
      </c>
      <c r="F99" s="366">
        <v>8804059</v>
      </c>
      <c r="G99" s="368">
        <v>4402030</v>
      </c>
      <c r="H99" s="369">
        <v>669894</v>
      </c>
      <c r="I99" s="370">
        <v>669894</v>
      </c>
      <c r="J99" s="162">
        <f t="shared" ref="J99:J130" si="17">+I99-H99</f>
        <v>0</v>
      </c>
      <c r="K99" s="162"/>
      <c r="L99" s="332">
        <f t="shared" ref="L99:L104" si="18">H99</f>
        <v>669894</v>
      </c>
      <c r="M99" s="161">
        <f t="shared" ref="M99:M130" si="19">IF(L99&lt;&gt;0,+H99-L99,0)</f>
        <v>0</v>
      </c>
      <c r="N99" s="332">
        <f t="shared" ref="N99:N104" si="20">I99</f>
        <v>669894</v>
      </c>
      <c r="O99" s="161">
        <f t="shared" ref="O99:O130" si="21">IF(N99&lt;&gt;0,+I99-N99,0)</f>
        <v>0</v>
      </c>
      <c r="P99" s="161">
        <f t="shared" ref="P99:P130" si="22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1">
        <v>12205867</v>
      </c>
      <c r="E100" s="363">
        <v>239846</v>
      </c>
      <c r="F100" s="366">
        <v>11966021</v>
      </c>
      <c r="G100" s="366">
        <v>12085944</v>
      </c>
      <c r="H100" s="363">
        <v>2183449.7644146364</v>
      </c>
      <c r="I100" s="365">
        <v>2183449.7644146364</v>
      </c>
      <c r="J100" s="162">
        <f t="shared" si="17"/>
        <v>0</v>
      </c>
      <c r="K100" s="162"/>
      <c r="L100" s="375">
        <f t="shared" si="18"/>
        <v>2183449.7644146364</v>
      </c>
      <c r="M100" s="376">
        <f t="shared" si="19"/>
        <v>0</v>
      </c>
      <c r="N100" s="375">
        <f t="shared" si="20"/>
        <v>2183449.7644146364</v>
      </c>
      <c r="O100" s="162">
        <f t="shared" si="21"/>
        <v>0</v>
      </c>
      <c r="P100" s="162">
        <f t="shared" si="22"/>
        <v>0</v>
      </c>
    </row>
    <row r="101" spans="1:16">
      <c r="B101" s="9" t="str">
        <f t="shared" ref="B101:B154" si="23">IF(D101=F100,"","IU")</f>
        <v/>
      </c>
      <c r="C101" s="157">
        <f>IF(D93="","-",+C100+1)</f>
        <v>2011</v>
      </c>
      <c r="D101" s="361">
        <v>11966021</v>
      </c>
      <c r="E101" s="363">
        <v>235234</v>
      </c>
      <c r="F101" s="366">
        <v>11730787</v>
      </c>
      <c r="G101" s="366">
        <v>11848404</v>
      </c>
      <c r="H101" s="363">
        <v>1891800.0972614796</v>
      </c>
      <c r="I101" s="365">
        <v>1891800.0972614796</v>
      </c>
      <c r="J101" s="162">
        <f t="shared" si="17"/>
        <v>0</v>
      </c>
      <c r="K101" s="162"/>
      <c r="L101" s="375">
        <f t="shared" si="18"/>
        <v>1891800.0972614796</v>
      </c>
      <c r="M101" s="376">
        <f t="shared" si="19"/>
        <v>0</v>
      </c>
      <c r="N101" s="375">
        <f t="shared" si="20"/>
        <v>1891800.0972614796</v>
      </c>
      <c r="O101" s="162">
        <f t="shared" si="21"/>
        <v>0</v>
      </c>
      <c r="P101" s="162">
        <f t="shared" si="22"/>
        <v>0</v>
      </c>
    </row>
    <row r="102" spans="1:16">
      <c r="B102" s="9" t="str">
        <f t="shared" si="23"/>
        <v/>
      </c>
      <c r="C102" s="157">
        <f>IF(D93="","-",+C101+1)</f>
        <v>2012</v>
      </c>
      <c r="D102" s="361">
        <v>11730787</v>
      </c>
      <c r="E102" s="363">
        <v>235234</v>
      </c>
      <c r="F102" s="366">
        <v>11495553</v>
      </c>
      <c r="G102" s="366">
        <v>11613170</v>
      </c>
      <c r="H102" s="363">
        <v>1905852.1655461292</v>
      </c>
      <c r="I102" s="365">
        <v>1905852.1655461292</v>
      </c>
      <c r="J102" s="162">
        <v>0</v>
      </c>
      <c r="K102" s="162"/>
      <c r="L102" s="375">
        <f t="shared" si="18"/>
        <v>1905852.1655461292</v>
      </c>
      <c r="M102" s="376">
        <f t="shared" ref="M102:M107" si="24">IF(L102&lt;&gt;0,+H102-L102,0)</f>
        <v>0</v>
      </c>
      <c r="N102" s="375">
        <f t="shared" si="20"/>
        <v>1905852.1655461292</v>
      </c>
      <c r="O102" s="162">
        <f t="shared" ref="O102:O107" si="25">IF(N102&lt;&gt;0,+I102-N102,0)</f>
        <v>0</v>
      </c>
      <c r="P102" s="162">
        <f t="shared" ref="P102:P107" si="26">+O102-M102</f>
        <v>0</v>
      </c>
    </row>
    <row r="103" spans="1:16">
      <c r="B103" s="9" t="str">
        <f t="shared" si="23"/>
        <v/>
      </c>
      <c r="C103" s="157">
        <f>IF(D93="","-",+C102+1)</f>
        <v>2013</v>
      </c>
      <c r="D103" s="361">
        <v>11495553</v>
      </c>
      <c r="E103" s="363">
        <v>235234</v>
      </c>
      <c r="F103" s="366">
        <v>11260319</v>
      </c>
      <c r="G103" s="366">
        <v>11377936</v>
      </c>
      <c r="H103" s="363">
        <v>1872969.4877104962</v>
      </c>
      <c r="I103" s="365">
        <v>1872969.4877104962</v>
      </c>
      <c r="J103" s="162">
        <v>0</v>
      </c>
      <c r="K103" s="162"/>
      <c r="L103" s="375">
        <f t="shared" si="18"/>
        <v>1872969.4877104962</v>
      </c>
      <c r="M103" s="376">
        <f t="shared" si="24"/>
        <v>0</v>
      </c>
      <c r="N103" s="375">
        <f t="shared" si="20"/>
        <v>1872969.4877104962</v>
      </c>
      <c r="O103" s="162">
        <f t="shared" si="25"/>
        <v>0</v>
      </c>
      <c r="P103" s="162">
        <f t="shared" si="26"/>
        <v>0</v>
      </c>
    </row>
    <row r="104" spans="1:16">
      <c r="B104" s="9" t="str">
        <f t="shared" si="23"/>
        <v>IU</v>
      </c>
      <c r="C104" s="157">
        <f>IF(D93="","-",+C103+1)</f>
        <v>2014</v>
      </c>
      <c r="D104" s="361">
        <v>10484236</v>
      </c>
      <c r="E104" s="363">
        <v>220309</v>
      </c>
      <c r="F104" s="366">
        <v>10263927</v>
      </c>
      <c r="G104" s="366">
        <v>10374081.5</v>
      </c>
      <c r="H104" s="363">
        <v>1678862.4521722798</v>
      </c>
      <c r="I104" s="365">
        <v>1678862.4521722798</v>
      </c>
      <c r="J104" s="162">
        <v>0</v>
      </c>
      <c r="K104" s="162"/>
      <c r="L104" s="375">
        <f t="shared" si="18"/>
        <v>1678862.4521722798</v>
      </c>
      <c r="M104" s="376">
        <f t="shared" si="24"/>
        <v>0</v>
      </c>
      <c r="N104" s="375">
        <f t="shared" si="20"/>
        <v>1678862.4521722798</v>
      </c>
      <c r="O104" s="162">
        <f t="shared" si="25"/>
        <v>0</v>
      </c>
      <c r="P104" s="162">
        <f t="shared" si="26"/>
        <v>0</v>
      </c>
    </row>
    <row r="105" spans="1:16">
      <c r="B105" s="9" t="str">
        <f t="shared" si="23"/>
        <v/>
      </c>
      <c r="C105" s="157">
        <f>IF(D93="","-",+C104+1)</f>
        <v>2015</v>
      </c>
      <c r="D105" s="361">
        <v>10263927</v>
      </c>
      <c r="E105" s="363">
        <v>220309</v>
      </c>
      <c r="F105" s="366">
        <v>10043618</v>
      </c>
      <c r="G105" s="366">
        <v>10153772.5</v>
      </c>
      <c r="H105" s="363">
        <v>1605709.6172709188</v>
      </c>
      <c r="I105" s="365">
        <v>1605709.6172709188</v>
      </c>
      <c r="J105" s="162">
        <f t="shared" si="17"/>
        <v>0</v>
      </c>
      <c r="K105" s="162"/>
      <c r="L105" s="375">
        <f>H105</f>
        <v>1605709.6172709188</v>
      </c>
      <c r="M105" s="376">
        <f t="shared" si="24"/>
        <v>0</v>
      </c>
      <c r="N105" s="375">
        <f>I105</f>
        <v>1605709.6172709188</v>
      </c>
      <c r="O105" s="162">
        <f t="shared" si="25"/>
        <v>0</v>
      </c>
      <c r="P105" s="162">
        <f t="shared" si="26"/>
        <v>0</v>
      </c>
    </row>
    <row r="106" spans="1:16">
      <c r="B106" s="9" t="str">
        <f t="shared" si="23"/>
        <v/>
      </c>
      <c r="C106" s="157">
        <f>IF(D93="","-",+C105+1)</f>
        <v>2016</v>
      </c>
      <c r="D106" s="361">
        <v>10043618</v>
      </c>
      <c r="E106" s="363">
        <v>249045</v>
      </c>
      <c r="F106" s="366">
        <v>9794573</v>
      </c>
      <c r="G106" s="366">
        <v>9919095.5</v>
      </c>
      <c r="H106" s="363">
        <v>1527772.6245386968</v>
      </c>
      <c r="I106" s="365">
        <v>1527772.6245386968</v>
      </c>
      <c r="J106" s="162">
        <f t="shared" si="17"/>
        <v>0</v>
      </c>
      <c r="K106" s="162"/>
      <c r="L106" s="375">
        <f>H106</f>
        <v>1527772.6245386968</v>
      </c>
      <c r="M106" s="376">
        <f t="shared" si="24"/>
        <v>0</v>
      </c>
      <c r="N106" s="375">
        <f>I106</f>
        <v>1527772.6245386968</v>
      </c>
      <c r="O106" s="162">
        <f t="shared" si="25"/>
        <v>0</v>
      </c>
      <c r="P106" s="162">
        <f t="shared" si="26"/>
        <v>0</v>
      </c>
    </row>
    <row r="107" spans="1:16">
      <c r="B107" s="9" t="str">
        <f t="shared" si="23"/>
        <v/>
      </c>
      <c r="C107" s="157">
        <f>IF(D93="","-",+C106+1)</f>
        <v>2017</v>
      </c>
      <c r="D107" s="361">
        <v>9794573</v>
      </c>
      <c r="E107" s="363">
        <v>249045</v>
      </c>
      <c r="F107" s="366">
        <v>9545528</v>
      </c>
      <c r="G107" s="366">
        <v>9670050.5</v>
      </c>
      <c r="H107" s="363">
        <v>1475715.2889659985</v>
      </c>
      <c r="I107" s="365">
        <v>1475715.2889659985</v>
      </c>
      <c r="J107" s="162">
        <f t="shared" si="17"/>
        <v>0</v>
      </c>
      <c r="K107" s="162"/>
      <c r="L107" s="375">
        <f>H107</f>
        <v>1475715.2889659985</v>
      </c>
      <c r="M107" s="376">
        <f t="shared" si="24"/>
        <v>0</v>
      </c>
      <c r="N107" s="375">
        <f>I107</f>
        <v>1475715.2889659985</v>
      </c>
      <c r="O107" s="162">
        <f t="shared" si="25"/>
        <v>0</v>
      </c>
      <c r="P107" s="162">
        <f t="shared" si="26"/>
        <v>0</v>
      </c>
    </row>
    <row r="108" spans="1:16">
      <c r="B108" s="9" t="str">
        <f t="shared" si="23"/>
        <v/>
      </c>
      <c r="C108" s="157">
        <f>IF(D93="","-",+C107+1)</f>
        <v>2018</v>
      </c>
      <c r="D108" s="158">
        <f>IF(F107+SUM(E$99:E107)=D$92,F107,D$92-SUM(E$99:E107))</f>
        <v>9545528</v>
      </c>
      <c r="E108" s="165">
        <f>IF(+J96&lt;F107,J96,D108)</f>
        <v>266420</v>
      </c>
      <c r="F108" s="163">
        <f t="shared" ref="F108:F130" si="27">+D108-E108</f>
        <v>9279108</v>
      </c>
      <c r="G108" s="163">
        <f t="shared" ref="G108:G130" si="28">+(F108+D108)/2</f>
        <v>9412318</v>
      </c>
      <c r="H108" s="167">
        <f t="shared" ref="H108:H154" si="29">+J$94*G108+E108</f>
        <v>1233399.824885203</v>
      </c>
      <c r="I108" s="312">
        <f t="shared" ref="I108:I154" si="30">+J$95*G108+E108</f>
        <v>1233399.824885203</v>
      </c>
      <c r="J108" s="162">
        <f t="shared" si="17"/>
        <v>0</v>
      </c>
      <c r="K108" s="162"/>
      <c r="L108" s="330"/>
      <c r="M108" s="162">
        <f t="shared" si="19"/>
        <v>0</v>
      </c>
      <c r="N108" s="330"/>
      <c r="O108" s="162">
        <f t="shared" si="21"/>
        <v>0</v>
      </c>
      <c r="P108" s="162">
        <f t="shared" si="22"/>
        <v>0</v>
      </c>
    </row>
    <row r="109" spans="1:16">
      <c r="B109" s="9" t="str">
        <f t="shared" si="23"/>
        <v/>
      </c>
      <c r="C109" s="157">
        <f>IF(D93="","-",+C108+1)</f>
        <v>2019</v>
      </c>
      <c r="D109" s="158">
        <f>IF(F108+SUM(E$99:E108)=D$92,F108,D$92-SUM(E$99:E108))</f>
        <v>9279108</v>
      </c>
      <c r="E109" s="165">
        <f>IF(+J96&lt;F108,J96,D109)</f>
        <v>266420</v>
      </c>
      <c r="F109" s="163">
        <f t="shared" si="27"/>
        <v>9012688</v>
      </c>
      <c r="G109" s="163">
        <f t="shared" si="28"/>
        <v>9145898</v>
      </c>
      <c r="H109" s="167">
        <f t="shared" si="29"/>
        <v>1206029.0151711754</v>
      </c>
      <c r="I109" s="312">
        <f t="shared" si="30"/>
        <v>1206029.0151711754</v>
      </c>
      <c r="J109" s="162">
        <f t="shared" si="17"/>
        <v>0</v>
      </c>
      <c r="K109" s="162"/>
      <c r="L109" s="330"/>
      <c r="M109" s="162">
        <f t="shared" si="19"/>
        <v>0</v>
      </c>
      <c r="N109" s="330"/>
      <c r="O109" s="162">
        <f t="shared" si="21"/>
        <v>0</v>
      </c>
      <c r="P109" s="162">
        <f t="shared" si="22"/>
        <v>0</v>
      </c>
    </row>
    <row r="110" spans="1:16">
      <c r="B110" s="9" t="str">
        <f t="shared" si="23"/>
        <v/>
      </c>
      <c r="C110" s="157">
        <f>IF(D93="","-",+C109+1)</f>
        <v>2020</v>
      </c>
      <c r="D110" s="158">
        <f>IF(F109+SUM(E$99:E109)=D$92,F109,D$92-SUM(E$99:E109))</f>
        <v>9012688</v>
      </c>
      <c r="E110" s="165">
        <f>IF(+J96&lt;F109,J96,D110)</f>
        <v>266420</v>
      </c>
      <c r="F110" s="163">
        <f t="shared" si="27"/>
        <v>8746268</v>
      </c>
      <c r="G110" s="163">
        <f t="shared" si="28"/>
        <v>8879478</v>
      </c>
      <c r="H110" s="167">
        <f t="shared" si="29"/>
        <v>1178658.2054571481</v>
      </c>
      <c r="I110" s="312">
        <f t="shared" si="30"/>
        <v>1178658.2054571481</v>
      </c>
      <c r="J110" s="162">
        <f t="shared" si="17"/>
        <v>0</v>
      </c>
      <c r="K110" s="162"/>
      <c r="L110" s="330"/>
      <c r="M110" s="162">
        <f t="shared" si="19"/>
        <v>0</v>
      </c>
      <c r="N110" s="330"/>
      <c r="O110" s="162">
        <f t="shared" si="21"/>
        <v>0</v>
      </c>
      <c r="P110" s="162">
        <f t="shared" si="22"/>
        <v>0</v>
      </c>
    </row>
    <row r="111" spans="1:16">
      <c r="B111" s="9" t="str">
        <f t="shared" si="23"/>
        <v/>
      </c>
      <c r="C111" s="157">
        <f>IF(D93="","-",+C110+1)</f>
        <v>2021</v>
      </c>
      <c r="D111" s="158">
        <f>IF(F110+SUM(E$99:E110)=D$92,F110,D$92-SUM(E$99:E110))</f>
        <v>8746268</v>
      </c>
      <c r="E111" s="165">
        <f>IF(+J96&lt;F110,J96,D111)</f>
        <v>266420</v>
      </c>
      <c r="F111" s="163">
        <f t="shared" si="27"/>
        <v>8479848</v>
      </c>
      <c r="G111" s="163">
        <f t="shared" si="28"/>
        <v>8613058</v>
      </c>
      <c r="H111" s="167">
        <f t="shared" si="29"/>
        <v>1151287.3957431205</v>
      </c>
      <c r="I111" s="312">
        <f t="shared" si="30"/>
        <v>1151287.3957431205</v>
      </c>
      <c r="J111" s="162">
        <f t="shared" si="17"/>
        <v>0</v>
      </c>
      <c r="K111" s="162"/>
      <c r="L111" s="330"/>
      <c r="M111" s="162">
        <f t="shared" si="19"/>
        <v>0</v>
      </c>
      <c r="N111" s="330"/>
      <c r="O111" s="162">
        <f t="shared" si="21"/>
        <v>0</v>
      </c>
      <c r="P111" s="162">
        <f t="shared" si="22"/>
        <v>0</v>
      </c>
    </row>
    <row r="112" spans="1:16">
      <c r="B112" s="9" t="str">
        <f t="shared" si="23"/>
        <v/>
      </c>
      <c r="C112" s="157">
        <f>IF(D93="","-",+C111+1)</f>
        <v>2022</v>
      </c>
      <c r="D112" s="158">
        <f>IF(F111+SUM(E$99:E111)=D$92,F111,D$92-SUM(E$99:E111))</f>
        <v>8479848</v>
      </c>
      <c r="E112" s="165">
        <f>IF(+J96&lt;F111,J96,D112)</f>
        <v>266420</v>
      </c>
      <c r="F112" s="163">
        <f t="shared" si="27"/>
        <v>8213428</v>
      </c>
      <c r="G112" s="163">
        <f t="shared" si="28"/>
        <v>8346638</v>
      </c>
      <c r="H112" s="167">
        <f t="shared" si="29"/>
        <v>1123916.586029093</v>
      </c>
      <c r="I112" s="312">
        <f t="shared" si="30"/>
        <v>1123916.586029093</v>
      </c>
      <c r="J112" s="162">
        <f t="shared" si="17"/>
        <v>0</v>
      </c>
      <c r="K112" s="162"/>
      <c r="L112" s="330"/>
      <c r="M112" s="162">
        <f t="shared" si="19"/>
        <v>0</v>
      </c>
      <c r="N112" s="330"/>
      <c r="O112" s="162">
        <f t="shared" si="21"/>
        <v>0</v>
      </c>
      <c r="P112" s="162">
        <f t="shared" si="22"/>
        <v>0</v>
      </c>
    </row>
    <row r="113" spans="2:16">
      <c r="B113" s="9" t="str">
        <f t="shared" si="23"/>
        <v/>
      </c>
      <c r="C113" s="157">
        <f>IF(D93="","-",+C112+1)</f>
        <v>2023</v>
      </c>
      <c r="D113" s="158">
        <f>IF(F112+SUM(E$99:E112)=D$92,F112,D$92-SUM(E$99:E112))</f>
        <v>8213428</v>
      </c>
      <c r="E113" s="165">
        <f>IF(+J96&lt;F112,J96,D113)</f>
        <v>266420</v>
      </c>
      <c r="F113" s="163">
        <f t="shared" si="27"/>
        <v>7947008</v>
      </c>
      <c r="G113" s="163">
        <f t="shared" si="28"/>
        <v>8080218</v>
      </c>
      <c r="H113" s="167">
        <f t="shared" si="29"/>
        <v>1096545.7763150656</v>
      </c>
      <c r="I113" s="312">
        <f t="shared" si="30"/>
        <v>1096545.7763150656</v>
      </c>
      <c r="J113" s="162">
        <f t="shared" si="17"/>
        <v>0</v>
      </c>
      <c r="K113" s="162"/>
      <c r="L113" s="330"/>
      <c r="M113" s="162">
        <f t="shared" si="19"/>
        <v>0</v>
      </c>
      <c r="N113" s="330"/>
      <c r="O113" s="162">
        <f t="shared" si="21"/>
        <v>0</v>
      </c>
      <c r="P113" s="162">
        <f t="shared" si="22"/>
        <v>0</v>
      </c>
    </row>
    <row r="114" spans="2:16">
      <c r="B114" s="9" t="str">
        <f t="shared" si="23"/>
        <v/>
      </c>
      <c r="C114" s="157">
        <f>IF(D93="","-",+C113+1)</f>
        <v>2024</v>
      </c>
      <c r="D114" s="158">
        <f>IF(F113+SUM(E$99:E113)=D$92,F113,D$92-SUM(E$99:E113))</f>
        <v>7947008</v>
      </c>
      <c r="E114" s="165">
        <f>IF(+J96&lt;F113,J96,D114)</f>
        <v>266420</v>
      </c>
      <c r="F114" s="163">
        <f t="shared" si="27"/>
        <v>7680588</v>
      </c>
      <c r="G114" s="163">
        <f t="shared" si="28"/>
        <v>7813798</v>
      </c>
      <c r="H114" s="167">
        <f t="shared" si="29"/>
        <v>1069174.9666010379</v>
      </c>
      <c r="I114" s="312">
        <f t="shared" si="30"/>
        <v>1069174.9666010379</v>
      </c>
      <c r="J114" s="162">
        <f t="shared" si="17"/>
        <v>0</v>
      </c>
      <c r="K114" s="162"/>
      <c r="L114" s="330"/>
      <c r="M114" s="162">
        <f t="shared" si="19"/>
        <v>0</v>
      </c>
      <c r="N114" s="330"/>
      <c r="O114" s="162">
        <f t="shared" si="21"/>
        <v>0</v>
      </c>
      <c r="P114" s="162">
        <f t="shared" si="22"/>
        <v>0</v>
      </c>
    </row>
    <row r="115" spans="2:16">
      <c r="B115" s="9" t="str">
        <f t="shared" si="23"/>
        <v/>
      </c>
      <c r="C115" s="157">
        <f>IF(D93="","-",+C114+1)</f>
        <v>2025</v>
      </c>
      <c r="D115" s="158">
        <f>IF(F114+SUM(E$99:E114)=D$92,F114,D$92-SUM(E$99:E114))</f>
        <v>7680588</v>
      </c>
      <c r="E115" s="165">
        <f>IF(+J96&lt;F114,J96,D115)</f>
        <v>266420</v>
      </c>
      <c r="F115" s="163">
        <f t="shared" si="27"/>
        <v>7414168</v>
      </c>
      <c r="G115" s="163">
        <f t="shared" si="28"/>
        <v>7547378</v>
      </c>
      <c r="H115" s="167">
        <f t="shared" si="29"/>
        <v>1041804.1568870106</v>
      </c>
      <c r="I115" s="312">
        <f t="shared" si="30"/>
        <v>1041804.1568870106</v>
      </c>
      <c r="J115" s="162">
        <f t="shared" si="17"/>
        <v>0</v>
      </c>
      <c r="K115" s="162"/>
      <c r="L115" s="330"/>
      <c r="M115" s="162">
        <f t="shared" si="19"/>
        <v>0</v>
      </c>
      <c r="N115" s="330"/>
      <c r="O115" s="162">
        <f t="shared" si="21"/>
        <v>0</v>
      </c>
      <c r="P115" s="162">
        <f t="shared" si="22"/>
        <v>0</v>
      </c>
    </row>
    <row r="116" spans="2:16">
      <c r="B116" s="9" t="str">
        <f t="shared" si="23"/>
        <v/>
      </c>
      <c r="C116" s="157">
        <f>IF(D93="","-",+C115+1)</f>
        <v>2026</v>
      </c>
      <c r="D116" s="158">
        <f>IF(F115+SUM(E$99:E115)=D$92,F115,D$92-SUM(E$99:E115))</f>
        <v>7414168</v>
      </c>
      <c r="E116" s="165">
        <f>IF(+J96&lt;F115,J96,D116)</f>
        <v>266420</v>
      </c>
      <c r="F116" s="163">
        <f t="shared" si="27"/>
        <v>7147748</v>
      </c>
      <c r="G116" s="163">
        <f t="shared" si="28"/>
        <v>7280958</v>
      </c>
      <c r="H116" s="167">
        <f t="shared" si="29"/>
        <v>1014433.3471729831</v>
      </c>
      <c r="I116" s="312">
        <f t="shared" si="30"/>
        <v>1014433.3471729831</v>
      </c>
      <c r="J116" s="162">
        <f t="shared" si="17"/>
        <v>0</v>
      </c>
      <c r="K116" s="162"/>
      <c r="L116" s="330"/>
      <c r="M116" s="162">
        <f t="shared" si="19"/>
        <v>0</v>
      </c>
      <c r="N116" s="330"/>
      <c r="O116" s="162">
        <f t="shared" si="21"/>
        <v>0</v>
      </c>
      <c r="P116" s="162">
        <f t="shared" si="22"/>
        <v>0</v>
      </c>
    </row>
    <row r="117" spans="2:16">
      <c r="B117" s="9" t="str">
        <f t="shared" si="23"/>
        <v/>
      </c>
      <c r="C117" s="157">
        <f>IF(D93="","-",+C116+1)</f>
        <v>2027</v>
      </c>
      <c r="D117" s="158">
        <f>IF(F116+SUM(E$99:E116)=D$92,F116,D$92-SUM(E$99:E116))</f>
        <v>7147748</v>
      </c>
      <c r="E117" s="165">
        <f>IF(+J96&lt;F116,J96,D117)</f>
        <v>266420</v>
      </c>
      <c r="F117" s="163">
        <f t="shared" si="27"/>
        <v>6881328</v>
      </c>
      <c r="G117" s="163">
        <f t="shared" si="28"/>
        <v>7014538</v>
      </c>
      <c r="H117" s="167">
        <f t="shared" si="29"/>
        <v>987062.53745895554</v>
      </c>
      <c r="I117" s="312">
        <f t="shared" si="30"/>
        <v>987062.53745895554</v>
      </c>
      <c r="J117" s="162">
        <f t="shared" si="17"/>
        <v>0</v>
      </c>
      <c r="K117" s="162"/>
      <c r="L117" s="330"/>
      <c r="M117" s="162">
        <f t="shared" si="19"/>
        <v>0</v>
      </c>
      <c r="N117" s="330"/>
      <c r="O117" s="162">
        <f t="shared" si="21"/>
        <v>0</v>
      </c>
      <c r="P117" s="162">
        <f t="shared" si="22"/>
        <v>0</v>
      </c>
    </row>
    <row r="118" spans="2:16">
      <c r="B118" s="9" t="str">
        <f t="shared" si="23"/>
        <v/>
      </c>
      <c r="C118" s="157">
        <f>IF(D93="","-",+C117+1)</f>
        <v>2028</v>
      </c>
      <c r="D118" s="158">
        <f>IF(F117+SUM(E$99:E117)=D$92,F117,D$92-SUM(E$99:E117))</f>
        <v>6881328</v>
      </c>
      <c r="E118" s="165">
        <f>IF(+J96&lt;F117,J96,D118)</f>
        <v>266420</v>
      </c>
      <c r="F118" s="163">
        <f t="shared" si="27"/>
        <v>6614908</v>
      </c>
      <c r="G118" s="163">
        <f t="shared" si="28"/>
        <v>6748118</v>
      </c>
      <c r="H118" s="167">
        <f t="shared" si="29"/>
        <v>959691.7277449281</v>
      </c>
      <c r="I118" s="312">
        <f t="shared" si="30"/>
        <v>959691.7277449281</v>
      </c>
      <c r="J118" s="162">
        <f t="shared" si="17"/>
        <v>0</v>
      </c>
      <c r="K118" s="162"/>
      <c r="L118" s="330"/>
      <c r="M118" s="162">
        <f t="shared" si="19"/>
        <v>0</v>
      </c>
      <c r="N118" s="330"/>
      <c r="O118" s="162">
        <f t="shared" si="21"/>
        <v>0</v>
      </c>
      <c r="P118" s="162">
        <f t="shared" si="22"/>
        <v>0</v>
      </c>
    </row>
    <row r="119" spans="2:16">
      <c r="B119" s="9" t="str">
        <f t="shared" si="23"/>
        <v/>
      </c>
      <c r="C119" s="157">
        <f>IF(D93="","-",+C118+1)</f>
        <v>2029</v>
      </c>
      <c r="D119" s="158">
        <f>IF(F118+SUM(E$99:E118)=D$92,F118,D$92-SUM(E$99:E118))</f>
        <v>6614908</v>
      </c>
      <c r="E119" s="165">
        <f>IF(+J96&lt;F118,J96,D119)</f>
        <v>266420</v>
      </c>
      <c r="F119" s="163">
        <f t="shared" si="27"/>
        <v>6348488</v>
      </c>
      <c r="G119" s="163">
        <f t="shared" si="28"/>
        <v>6481698</v>
      </c>
      <c r="H119" s="167">
        <f t="shared" si="29"/>
        <v>932320.91803090065</v>
      </c>
      <c r="I119" s="312">
        <f t="shared" si="30"/>
        <v>932320.91803090065</v>
      </c>
      <c r="J119" s="162">
        <f t="shared" si="17"/>
        <v>0</v>
      </c>
      <c r="K119" s="162"/>
      <c r="L119" s="330"/>
      <c r="M119" s="162">
        <f t="shared" si="19"/>
        <v>0</v>
      </c>
      <c r="N119" s="330"/>
      <c r="O119" s="162">
        <f t="shared" si="21"/>
        <v>0</v>
      </c>
      <c r="P119" s="162">
        <f t="shared" si="22"/>
        <v>0</v>
      </c>
    </row>
    <row r="120" spans="2:16">
      <c r="B120" s="9" t="str">
        <f t="shared" si="23"/>
        <v/>
      </c>
      <c r="C120" s="157">
        <f>IF(D93="","-",+C119+1)</f>
        <v>2030</v>
      </c>
      <c r="D120" s="158">
        <f>IF(F119+SUM(E$99:E119)=D$92,F119,D$92-SUM(E$99:E119))</f>
        <v>6348488</v>
      </c>
      <c r="E120" s="165">
        <f>IF(+J96&lt;F119,J96,D120)</f>
        <v>266420</v>
      </c>
      <c r="F120" s="163">
        <f t="shared" si="27"/>
        <v>6082068</v>
      </c>
      <c r="G120" s="163">
        <f t="shared" si="28"/>
        <v>6215278</v>
      </c>
      <c r="H120" s="167">
        <f t="shared" si="29"/>
        <v>904950.10831687308</v>
      </c>
      <c r="I120" s="312">
        <f t="shared" si="30"/>
        <v>904950.10831687308</v>
      </c>
      <c r="J120" s="162">
        <f t="shared" si="17"/>
        <v>0</v>
      </c>
      <c r="K120" s="162"/>
      <c r="L120" s="330"/>
      <c r="M120" s="162">
        <f t="shared" si="19"/>
        <v>0</v>
      </c>
      <c r="N120" s="330"/>
      <c r="O120" s="162">
        <f t="shared" si="21"/>
        <v>0</v>
      </c>
      <c r="P120" s="162">
        <f t="shared" si="22"/>
        <v>0</v>
      </c>
    </row>
    <row r="121" spans="2:16">
      <c r="B121" s="9" t="str">
        <f t="shared" si="23"/>
        <v/>
      </c>
      <c r="C121" s="157">
        <f>IF(D93="","-",+C120+1)</f>
        <v>2031</v>
      </c>
      <c r="D121" s="158">
        <f>IF(F120+SUM(E$99:E120)=D$92,F120,D$92-SUM(E$99:E120))</f>
        <v>6082068</v>
      </c>
      <c r="E121" s="165">
        <f>IF(+J96&lt;F120,J96,D121)</f>
        <v>266420</v>
      </c>
      <c r="F121" s="163">
        <f t="shared" si="27"/>
        <v>5815648</v>
      </c>
      <c r="G121" s="163">
        <f t="shared" si="28"/>
        <v>5948858</v>
      </c>
      <c r="H121" s="167">
        <f t="shared" si="29"/>
        <v>877579.29860284564</v>
      </c>
      <c r="I121" s="312">
        <f t="shared" si="30"/>
        <v>877579.29860284564</v>
      </c>
      <c r="J121" s="162">
        <f t="shared" si="17"/>
        <v>0</v>
      </c>
      <c r="K121" s="162"/>
      <c r="L121" s="330"/>
      <c r="M121" s="162">
        <f t="shared" si="19"/>
        <v>0</v>
      </c>
      <c r="N121" s="330"/>
      <c r="O121" s="162">
        <f t="shared" si="21"/>
        <v>0</v>
      </c>
      <c r="P121" s="162">
        <f t="shared" si="22"/>
        <v>0</v>
      </c>
    </row>
    <row r="122" spans="2:16">
      <c r="B122" s="9" t="str">
        <f t="shared" si="23"/>
        <v/>
      </c>
      <c r="C122" s="157">
        <f>IF(D93="","-",+C121+1)</f>
        <v>2032</v>
      </c>
      <c r="D122" s="158">
        <f>IF(F121+SUM(E$99:E121)=D$92,F121,D$92-SUM(E$99:E121))</f>
        <v>5815648</v>
      </c>
      <c r="E122" s="165">
        <f>IF(+J96&lt;F121,J96,D122)</f>
        <v>266420</v>
      </c>
      <c r="F122" s="163">
        <f t="shared" si="27"/>
        <v>5549228</v>
      </c>
      <c r="G122" s="163">
        <f t="shared" si="28"/>
        <v>5682438</v>
      </c>
      <c r="H122" s="167">
        <f t="shared" si="29"/>
        <v>850208.48888881819</v>
      </c>
      <c r="I122" s="312">
        <f t="shared" si="30"/>
        <v>850208.48888881819</v>
      </c>
      <c r="J122" s="162">
        <f t="shared" si="17"/>
        <v>0</v>
      </c>
      <c r="K122" s="162"/>
      <c r="L122" s="330"/>
      <c r="M122" s="162">
        <f t="shared" si="19"/>
        <v>0</v>
      </c>
      <c r="N122" s="330"/>
      <c r="O122" s="162">
        <f t="shared" si="21"/>
        <v>0</v>
      </c>
      <c r="P122" s="162">
        <f t="shared" si="22"/>
        <v>0</v>
      </c>
    </row>
    <row r="123" spans="2:16">
      <c r="B123" s="9" t="str">
        <f t="shared" si="23"/>
        <v/>
      </c>
      <c r="C123" s="157">
        <f>IF(D93="","-",+C122+1)</f>
        <v>2033</v>
      </c>
      <c r="D123" s="158">
        <f>IF(F122+SUM(E$99:E122)=D$92,F122,D$92-SUM(E$99:E122))</f>
        <v>5549228</v>
      </c>
      <c r="E123" s="165">
        <f>IF(+J96&lt;F122,J96,D123)</f>
        <v>266420</v>
      </c>
      <c r="F123" s="163">
        <f t="shared" si="27"/>
        <v>5282808</v>
      </c>
      <c r="G123" s="163">
        <f t="shared" si="28"/>
        <v>5416018</v>
      </c>
      <c r="H123" s="167">
        <f t="shared" si="29"/>
        <v>822837.67917479062</v>
      </c>
      <c r="I123" s="312">
        <f t="shared" si="30"/>
        <v>822837.67917479062</v>
      </c>
      <c r="J123" s="162">
        <f t="shared" si="17"/>
        <v>0</v>
      </c>
      <c r="K123" s="162"/>
      <c r="L123" s="330"/>
      <c r="M123" s="162">
        <f t="shared" si="19"/>
        <v>0</v>
      </c>
      <c r="N123" s="330"/>
      <c r="O123" s="162">
        <f t="shared" si="21"/>
        <v>0</v>
      </c>
      <c r="P123" s="162">
        <f t="shared" si="22"/>
        <v>0</v>
      </c>
    </row>
    <row r="124" spans="2:16">
      <c r="B124" s="9" t="str">
        <f t="shared" si="23"/>
        <v/>
      </c>
      <c r="C124" s="157">
        <f>IF(D93="","-",+C123+1)</f>
        <v>2034</v>
      </c>
      <c r="D124" s="158">
        <f>IF(F123+SUM(E$99:E123)=D$92,F123,D$92-SUM(E$99:E123))</f>
        <v>5282808</v>
      </c>
      <c r="E124" s="165">
        <f>IF(+J96&lt;F123,J96,D124)</f>
        <v>266420</v>
      </c>
      <c r="F124" s="163">
        <f t="shared" si="27"/>
        <v>5016388</v>
      </c>
      <c r="G124" s="163">
        <f t="shared" si="28"/>
        <v>5149598</v>
      </c>
      <c r="H124" s="167">
        <f t="shared" si="29"/>
        <v>795466.86946076318</v>
      </c>
      <c r="I124" s="312">
        <f t="shared" si="30"/>
        <v>795466.86946076318</v>
      </c>
      <c r="J124" s="162">
        <f t="shared" si="17"/>
        <v>0</v>
      </c>
      <c r="K124" s="162"/>
      <c r="L124" s="330"/>
      <c r="M124" s="162">
        <f t="shared" si="19"/>
        <v>0</v>
      </c>
      <c r="N124" s="330"/>
      <c r="O124" s="162">
        <f t="shared" si="21"/>
        <v>0</v>
      </c>
      <c r="P124" s="162">
        <f t="shared" si="22"/>
        <v>0</v>
      </c>
    </row>
    <row r="125" spans="2:16">
      <c r="B125" s="9" t="str">
        <f t="shared" si="23"/>
        <v/>
      </c>
      <c r="C125" s="157">
        <f>IF(D93="","-",+C124+1)</f>
        <v>2035</v>
      </c>
      <c r="D125" s="158">
        <f>IF(F124+SUM(E$99:E124)=D$92,F124,D$92-SUM(E$99:E124))</f>
        <v>5016388</v>
      </c>
      <c r="E125" s="165">
        <f>IF(+J96&lt;F124,J96,D125)</f>
        <v>266420</v>
      </c>
      <c r="F125" s="163">
        <f t="shared" si="27"/>
        <v>4749968</v>
      </c>
      <c r="G125" s="163">
        <f t="shared" si="28"/>
        <v>4883178</v>
      </c>
      <c r="H125" s="167">
        <f t="shared" si="29"/>
        <v>768096.05974673573</v>
      </c>
      <c r="I125" s="312">
        <f t="shared" si="30"/>
        <v>768096.05974673573</v>
      </c>
      <c r="J125" s="162">
        <f t="shared" si="17"/>
        <v>0</v>
      </c>
      <c r="K125" s="162"/>
      <c r="L125" s="330"/>
      <c r="M125" s="162">
        <f t="shared" si="19"/>
        <v>0</v>
      </c>
      <c r="N125" s="330"/>
      <c r="O125" s="162">
        <f t="shared" si="21"/>
        <v>0</v>
      </c>
      <c r="P125" s="162">
        <f t="shared" si="22"/>
        <v>0</v>
      </c>
    </row>
    <row r="126" spans="2:16">
      <c r="B126" s="9" t="str">
        <f t="shared" si="23"/>
        <v/>
      </c>
      <c r="C126" s="157">
        <f>IF(D93="","-",+C125+1)</f>
        <v>2036</v>
      </c>
      <c r="D126" s="158">
        <f>IF(F125+SUM(E$99:E125)=D$92,F125,D$92-SUM(E$99:E125))</f>
        <v>4749968</v>
      </c>
      <c r="E126" s="165">
        <f>IF(+J96&lt;F125,J96,D126)</f>
        <v>266420</v>
      </c>
      <c r="F126" s="163">
        <f t="shared" si="27"/>
        <v>4483548</v>
      </c>
      <c r="G126" s="163">
        <f t="shared" si="28"/>
        <v>4616758</v>
      </c>
      <c r="H126" s="167">
        <f t="shared" si="29"/>
        <v>740725.25003270828</v>
      </c>
      <c r="I126" s="312">
        <f t="shared" si="30"/>
        <v>740725.25003270828</v>
      </c>
      <c r="J126" s="162">
        <f t="shared" si="17"/>
        <v>0</v>
      </c>
      <c r="K126" s="162"/>
      <c r="L126" s="330"/>
      <c r="M126" s="162">
        <f t="shared" si="19"/>
        <v>0</v>
      </c>
      <c r="N126" s="330"/>
      <c r="O126" s="162">
        <f t="shared" si="21"/>
        <v>0</v>
      </c>
      <c r="P126" s="162">
        <f t="shared" si="22"/>
        <v>0</v>
      </c>
    </row>
    <row r="127" spans="2:16">
      <c r="B127" s="9" t="str">
        <f t="shared" si="23"/>
        <v/>
      </c>
      <c r="C127" s="157">
        <f>IF(D93="","-",+C126+1)</f>
        <v>2037</v>
      </c>
      <c r="D127" s="158">
        <f>IF(F126+SUM(E$99:E126)=D$92,F126,D$92-SUM(E$99:E126))</f>
        <v>4483548</v>
      </c>
      <c r="E127" s="165">
        <f>IF(+J96&lt;F126,J96,D127)</f>
        <v>266420</v>
      </c>
      <c r="F127" s="163">
        <f t="shared" si="27"/>
        <v>4217128</v>
      </c>
      <c r="G127" s="163">
        <f t="shared" si="28"/>
        <v>4350338</v>
      </c>
      <c r="H127" s="167">
        <f t="shared" si="29"/>
        <v>713354.44031868072</v>
      </c>
      <c r="I127" s="312">
        <f t="shared" si="30"/>
        <v>713354.44031868072</v>
      </c>
      <c r="J127" s="162">
        <f t="shared" si="17"/>
        <v>0</v>
      </c>
      <c r="K127" s="162"/>
      <c r="L127" s="330"/>
      <c r="M127" s="162">
        <f t="shared" si="19"/>
        <v>0</v>
      </c>
      <c r="N127" s="330"/>
      <c r="O127" s="162">
        <f t="shared" si="21"/>
        <v>0</v>
      </c>
      <c r="P127" s="162">
        <f t="shared" si="22"/>
        <v>0</v>
      </c>
    </row>
    <row r="128" spans="2:16">
      <c r="B128" s="9" t="str">
        <f t="shared" si="23"/>
        <v/>
      </c>
      <c r="C128" s="157">
        <f>IF(D93="","-",+C127+1)</f>
        <v>2038</v>
      </c>
      <c r="D128" s="158">
        <f>IF(F127+SUM(E$99:E127)=D$92,F127,D$92-SUM(E$99:E127))</f>
        <v>4217128</v>
      </c>
      <c r="E128" s="165">
        <f>IF(+J96&lt;F127,J96,D128)</f>
        <v>266420</v>
      </c>
      <c r="F128" s="163">
        <f t="shared" si="27"/>
        <v>3950708</v>
      </c>
      <c r="G128" s="163">
        <f t="shared" si="28"/>
        <v>4083918</v>
      </c>
      <c r="H128" s="167">
        <f t="shared" si="29"/>
        <v>685983.63060465315</v>
      </c>
      <c r="I128" s="312">
        <f t="shared" si="30"/>
        <v>685983.63060465315</v>
      </c>
      <c r="J128" s="162">
        <f t="shared" si="17"/>
        <v>0</v>
      </c>
      <c r="K128" s="162"/>
      <c r="L128" s="330"/>
      <c r="M128" s="162">
        <f t="shared" si="19"/>
        <v>0</v>
      </c>
      <c r="N128" s="330"/>
      <c r="O128" s="162">
        <f t="shared" si="21"/>
        <v>0</v>
      </c>
      <c r="P128" s="162">
        <f t="shared" si="22"/>
        <v>0</v>
      </c>
    </row>
    <row r="129" spans="2:16">
      <c r="B129" s="9" t="str">
        <f t="shared" si="23"/>
        <v/>
      </c>
      <c r="C129" s="157">
        <f>IF(D93="","-",+C128+1)</f>
        <v>2039</v>
      </c>
      <c r="D129" s="158">
        <f>IF(F128+SUM(E$99:E128)=D$92,F128,D$92-SUM(E$99:E128))</f>
        <v>3950708</v>
      </c>
      <c r="E129" s="165">
        <f>IF(+J96&lt;F128,J96,D129)</f>
        <v>266420</v>
      </c>
      <c r="F129" s="163">
        <f t="shared" si="27"/>
        <v>3684288</v>
      </c>
      <c r="G129" s="163">
        <f t="shared" si="28"/>
        <v>3817498</v>
      </c>
      <c r="H129" s="167">
        <f t="shared" si="29"/>
        <v>658612.82089062571</v>
      </c>
      <c r="I129" s="312">
        <f t="shared" si="30"/>
        <v>658612.82089062571</v>
      </c>
      <c r="J129" s="162">
        <f t="shared" si="17"/>
        <v>0</v>
      </c>
      <c r="K129" s="162"/>
      <c r="L129" s="330"/>
      <c r="M129" s="162">
        <f t="shared" si="19"/>
        <v>0</v>
      </c>
      <c r="N129" s="330"/>
      <c r="O129" s="162">
        <f t="shared" si="21"/>
        <v>0</v>
      </c>
      <c r="P129" s="162">
        <f t="shared" si="22"/>
        <v>0</v>
      </c>
    </row>
    <row r="130" spans="2:16">
      <c r="B130" s="9" t="str">
        <f t="shared" si="23"/>
        <v/>
      </c>
      <c r="C130" s="157">
        <f>IF(D93="","-",+C129+1)</f>
        <v>2040</v>
      </c>
      <c r="D130" s="158">
        <f>IF(F129+SUM(E$99:E129)=D$92,F129,D$92-SUM(E$99:E129))</f>
        <v>3684288</v>
      </c>
      <c r="E130" s="165">
        <f>IF(+J96&lt;F129,J96,D130)</f>
        <v>266420</v>
      </c>
      <c r="F130" s="163">
        <f t="shared" si="27"/>
        <v>3417868</v>
      </c>
      <c r="G130" s="163">
        <f t="shared" si="28"/>
        <v>3551078</v>
      </c>
      <c r="H130" s="167">
        <f t="shared" si="29"/>
        <v>631242.01117659826</v>
      </c>
      <c r="I130" s="312">
        <f t="shared" si="30"/>
        <v>631242.01117659826</v>
      </c>
      <c r="J130" s="162">
        <f t="shared" si="17"/>
        <v>0</v>
      </c>
      <c r="K130" s="162"/>
      <c r="L130" s="330"/>
      <c r="M130" s="162">
        <f t="shared" si="19"/>
        <v>0</v>
      </c>
      <c r="N130" s="330"/>
      <c r="O130" s="162">
        <f t="shared" si="21"/>
        <v>0</v>
      </c>
      <c r="P130" s="162">
        <f t="shared" si="22"/>
        <v>0</v>
      </c>
    </row>
    <row r="131" spans="2:16">
      <c r="B131" s="9" t="str">
        <f t="shared" si="23"/>
        <v/>
      </c>
      <c r="C131" s="157">
        <f>IF(D93="","-",+C130+1)</f>
        <v>2041</v>
      </c>
      <c r="D131" s="158">
        <f>IF(F130+SUM(E$99:E130)=D$92,F130,D$92-SUM(E$99:E130))</f>
        <v>3417868</v>
      </c>
      <c r="E131" s="165">
        <f>IF(+J96&lt;F130,J96,D131)</f>
        <v>266420</v>
      </c>
      <c r="F131" s="163">
        <f t="shared" ref="F131:F154" si="31">+D131-E131</f>
        <v>3151448</v>
      </c>
      <c r="G131" s="163">
        <f t="shared" ref="G131:G154" si="32">+(F131+D131)/2</f>
        <v>3284658</v>
      </c>
      <c r="H131" s="167">
        <f t="shared" si="29"/>
        <v>603871.20146257081</v>
      </c>
      <c r="I131" s="312">
        <f t="shared" si="30"/>
        <v>603871.20146257081</v>
      </c>
      <c r="J131" s="162">
        <f t="shared" ref="J131:J154" si="33">+I131-H131</f>
        <v>0</v>
      </c>
      <c r="K131" s="162"/>
      <c r="L131" s="330"/>
      <c r="M131" s="162">
        <f t="shared" ref="M131:M154" si="34">IF(L131&lt;&gt;0,+H131-L131,0)</f>
        <v>0</v>
      </c>
      <c r="N131" s="330"/>
      <c r="O131" s="162">
        <f t="shared" ref="O131:O154" si="35">IF(N131&lt;&gt;0,+I131-N131,0)</f>
        <v>0</v>
      </c>
      <c r="P131" s="162">
        <f t="shared" ref="P131:P154" si="36">+O131-M131</f>
        <v>0</v>
      </c>
    </row>
    <row r="132" spans="2:16">
      <c r="B132" s="9" t="str">
        <f t="shared" si="23"/>
        <v/>
      </c>
      <c r="C132" s="157">
        <f>IF(D93="","-",+C131+1)</f>
        <v>2042</v>
      </c>
      <c r="D132" s="158">
        <f>IF(F131+SUM(E$99:E131)=D$92,F131,D$92-SUM(E$99:E131))</f>
        <v>3151448</v>
      </c>
      <c r="E132" s="165">
        <f>IF(+J96&lt;F131,J96,D132)</f>
        <v>266420</v>
      </c>
      <c r="F132" s="163">
        <f t="shared" si="31"/>
        <v>2885028</v>
      </c>
      <c r="G132" s="163">
        <f t="shared" si="32"/>
        <v>3018238</v>
      </c>
      <c r="H132" s="167">
        <f t="shared" si="29"/>
        <v>576500.39174854325</v>
      </c>
      <c r="I132" s="312">
        <f t="shared" si="30"/>
        <v>576500.39174854325</v>
      </c>
      <c r="J132" s="162">
        <f t="shared" si="33"/>
        <v>0</v>
      </c>
      <c r="K132" s="162"/>
      <c r="L132" s="330"/>
      <c r="M132" s="162">
        <f t="shared" si="34"/>
        <v>0</v>
      </c>
      <c r="N132" s="330"/>
      <c r="O132" s="162">
        <f t="shared" si="35"/>
        <v>0</v>
      </c>
      <c r="P132" s="162">
        <f t="shared" si="36"/>
        <v>0</v>
      </c>
    </row>
    <row r="133" spans="2:16">
      <c r="B133" s="9" t="str">
        <f t="shared" si="23"/>
        <v/>
      </c>
      <c r="C133" s="157">
        <f>IF(D93="","-",+C132+1)</f>
        <v>2043</v>
      </c>
      <c r="D133" s="158">
        <f>IF(F132+SUM(E$99:E132)=D$92,F132,D$92-SUM(E$99:E132))</f>
        <v>2885028</v>
      </c>
      <c r="E133" s="165">
        <f>IF(+J96&lt;F132,J96,D133)</f>
        <v>266420</v>
      </c>
      <c r="F133" s="163">
        <f t="shared" si="31"/>
        <v>2618608</v>
      </c>
      <c r="G133" s="163">
        <f t="shared" si="32"/>
        <v>2751818</v>
      </c>
      <c r="H133" s="167">
        <f t="shared" si="29"/>
        <v>549129.5820345158</v>
      </c>
      <c r="I133" s="312">
        <f t="shared" si="30"/>
        <v>549129.5820345158</v>
      </c>
      <c r="J133" s="162">
        <f t="shared" si="33"/>
        <v>0</v>
      </c>
      <c r="K133" s="162"/>
      <c r="L133" s="330"/>
      <c r="M133" s="162">
        <f t="shared" si="34"/>
        <v>0</v>
      </c>
      <c r="N133" s="330"/>
      <c r="O133" s="162">
        <f t="shared" si="35"/>
        <v>0</v>
      </c>
      <c r="P133" s="162">
        <f t="shared" si="36"/>
        <v>0</v>
      </c>
    </row>
    <row r="134" spans="2:16">
      <c r="B134" s="9" t="str">
        <f t="shared" si="23"/>
        <v/>
      </c>
      <c r="C134" s="157">
        <f>IF(D93="","-",+C133+1)</f>
        <v>2044</v>
      </c>
      <c r="D134" s="158">
        <f>IF(F133+SUM(E$99:E133)=D$92,F133,D$92-SUM(E$99:E133))</f>
        <v>2618608</v>
      </c>
      <c r="E134" s="165">
        <f>IF(+J96&lt;F133,J96,D134)</f>
        <v>266420</v>
      </c>
      <c r="F134" s="163">
        <f t="shared" si="31"/>
        <v>2352188</v>
      </c>
      <c r="G134" s="163">
        <f t="shared" si="32"/>
        <v>2485398</v>
      </c>
      <c r="H134" s="167">
        <f t="shared" si="29"/>
        <v>521758.77232048829</v>
      </c>
      <c r="I134" s="312">
        <f t="shared" si="30"/>
        <v>521758.77232048829</v>
      </c>
      <c r="J134" s="162">
        <f t="shared" si="33"/>
        <v>0</v>
      </c>
      <c r="K134" s="162"/>
      <c r="L134" s="330"/>
      <c r="M134" s="162">
        <f t="shared" si="34"/>
        <v>0</v>
      </c>
      <c r="N134" s="330"/>
      <c r="O134" s="162">
        <f t="shared" si="35"/>
        <v>0</v>
      </c>
      <c r="P134" s="162">
        <f t="shared" si="36"/>
        <v>0</v>
      </c>
    </row>
    <row r="135" spans="2:16">
      <c r="B135" s="9" t="str">
        <f t="shared" si="23"/>
        <v/>
      </c>
      <c r="C135" s="157">
        <f>IF(D93="","-",+C134+1)</f>
        <v>2045</v>
      </c>
      <c r="D135" s="158">
        <f>IF(F134+SUM(E$99:E134)=D$92,F134,D$92-SUM(E$99:E134))</f>
        <v>2352188</v>
      </c>
      <c r="E135" s="165">
        <f>IF(+J96&lt;F134,J96,D135)</f>
        <v>266420</v>
      </c>
      <c r="F135" s="163">
        <f t="shared" si="31"/>
        <v>2085768</v>
      </c>
      <c r="G135" s="163">
        <f t="shared" si="32"/>
        <v>2218978</v>
      </c>
      <c r="H135" s="167">
        <f t="shared" si="29"/>
        <v>494387.96260646079</v>
      </c>
      <c r="I135" s="312">
        <f t="shared" si="30"/>
        <v>494387.96260646079</v>
      </c>
      <c r="J135" s="162">
        <f t="shared" si="33"/>
        <v>0</v>
      </c>
      <c r="K135" s="162"/>
      <c r="L135" s="330"/>
      <c r="M135" s="162">
        <f t="shared" si="34"/>
        <v>0</v>
      </c>
      <c r="N135" s="330"/>
      <c r="O135" s="162">
        <f t="shared" si="35"/>
        <v>0</v>
      </c>
      <c r="P135" s="162">
        <f t="shared" si="36"/>
        <v>0</v>
      </c>
    </row>
    <row r="136" spans="2:16">
      <c r="B136" s="9" t="str">
        <f t="shared" si="23"/>
        <v/>
      </c>
      <c r="C136" s="157">
        <f>IF(D93="","-",+C135+1)</f>
        <v>2046</v>
      </c>
      <c r="D136" s="158">
        <f>IF(F135+SUM(E$99:E135)=D$92,F135,D$92-SUM(E$99:E135))</f>
        <v>2085768</v>
      </c>
      <c r="E136" s="165">
        <f>IF(+J96&lt;F135,J96,D136)</f>
        <v>266420</v>
      </c>
      <c r="F136" s="163">
        <f t="shared" si="31"/>
        <v>1819348</v>
      </c>
      <c r="G136" s="163">
        <f t="shared" si="32"/>
        <v>1952558</v>
      </c>
      <c r="H136" s="167">
        <f t="shared" si="29"/>
        <v>467017.15289243334</v>
      </c>
      <c r="I136" s="312">
        <f t="shared" si="30"/>
        <v>467017.15289243334</v>
      </c>
      <c r="J136" s="162">
        <f t="shared" si="33"/>
        <v>0</v>
      </c>
      <c r="K136" s="162"/>
      <c r="L136" s="330"/>
      <c r="M136" s="162">
        <f t="shared" si="34"/>
        <v>0</v>
      </c>
      <c r="N136" s="330"/>
      <c r="O136" s="162">
        <f t="shared" si="35"/>
        <v>0</v>
      </c>
      <c r="P136" s="162">
        <f t="shared" si="36"/>
        <v>0</v>
      </c>
    </row>
    <row r="137" spans="2:16">
      <c r="B137" s="9" t="str">
        <f t="shared" si="23"/>
        <v/>
      </c>
      <c r="C137" s="157">
        <f>IF(D93="","-",+C136+1)</f>
        <v>2047</v>
      </c>
      <c r="D137" s="158">
        <f>IF(F136+SUM(E$99:E136)=D$92,F136,D$92-SUM(E$99:E136))</f>
        <v>1819348</v>
      </c>
      <c r="E137" s="165">
        <f>IF(+J96&lt;F136,J96,D137)</f>
        <v>266420</v>
      </c>
      <c r="F137" s="163">
        <f t="shared" si="31"/>
        <v>1552928</v>
      </c>
      <c r="G137" s="163">
        <f t="shared" si="32"/>
        <v>1686138</v>
      </c>
      <c r="H137" s="167">
        <f t="shared" si="29"/>
        <v>439646.34317840583</v>
      </c>
      <c r="I137" s="312">
        <f t="shared" si="30"/>
        <v>439646.34317840583</v>
      </c>
      <c r="J137" s="162">
        <f t="shared" si="33"/>
        <v>0</v>
      </c>
      <c r="K137" s="162"/>
      <c r="L137" s="330"/>
      <c r="M137" s="162">
        <f t="shared" si="34"/>
        <v>0</v>
      </c>
      <c r="N137" s="330"/>
      <c r="O137" s="162">
        <f t="shared" si="35"/>
        <v>0</v>
      </c>
      <c r="P137" s="162">
        <f t="shared" si="36"/>
        <v>0</v>
      </c>
    </row>
    <row r="138" spans="2:16">
      <c r="B138" s="9" t="str">
        <f t="shared" si="23"/>
        <v/>
      </c>
      <c r="C138" s="157">
        <f>IF(D93="","-",+C137+1)</f>
        <v>2048</v>
      </c>
      <c r="D138" s="158">
        <f>IF(F137+SUM(E$99:E137)=D$92,F137,D$92-SUM(E$99:E137))</f>
        <v>1552928</v>
      </c>
      <c r="E138" s="165">
        <f>IF(+J96&lt;F137,J96,D138)</f>
        <v>266420</v>
      </c>
      <c r="F138" s="163">
        <f t="shared" si="31"/>
        <v>1286508</v>
      </c>
      <c r="G138" s="163">
        <f t="shared" si="32"/>
        <v>1419718</v>
      </c>
      <c r="H138" s="167">
        <f t="shared" si="29"/>
        <v>412275.53346437833</v>
      </c>
      <c r="I138" s="312">
        <f t="shared" si="30"/>
        <v>412275.53346437833</v>
      </c>
      <c r="J138" s="162">
        <f t="shared" si="33"/>
        <v>0</v>
      </c>
      <c r="K138" s="162"/>
      <c r="L138" s="330"/>
      <c r="M138" s="162">
        <f t="shared" si="34"/>
        <v>0</v>
      </c>
      <c r="N138" s="330"/>
      <c r="O138" s="162">
        <f t="shared" si="35"/>
        <v>0</v>
      </c>
      <c r="P138" s="162">
        <f t="shared" si="36"/>
        <v>0</v>
      </c>
    </row>
    <row r="139" spans="2:16">
      <c r="B139" s="9" t="str">
        <f t="shared" si="23"/>
        <v/>
      </c>
      <c r="C139" s="157">
        <f>IF(D93="","-",+C138+1)</f>
        <v>2049</v>
      </c>
      <c r="D139" s="158">
        <f>IF(F138+SUM(E$99:E138)=D$92,F138,D$92-SUM(E$99:E138))</f>
        <v>1286508</v>
      </c>
      <c r="E139" s="165">
        <f>IF(+J96&lt;F138,J96,D139)</f>
        <v>266420</v>
      </c>
      <c r="F139" s="163">
        <f t="shared" si="31"/>
        <v>1020088</v>
      </c>
      <c r="G139" s="163">
        <f t="shared" si="32"/>
        <v>1153298</v>
      </c>
      <c r="H139" s="167">
        <f t="shared" si="29"/>
        <v>384904.72375035088</v>
      </c>
      <c r="I139" s="312">
        <f t="shared" si="30"/>
        <v>384904.72375035088</v>
      </c>
      <c r="J139" s="162">
        <f t="shared" si="33"/>
        <v>0</v>
      </c>
      <c r="K139" s="162"/>
      <c r="L139" s="330"/>
      <c r="M139" s="162">
        <f t="shared" si="34"/>
        <v>0</v>
      </c>
      <c r="N139" s="330"/>
      <c r="O139" s="162">
        <f t="shared" si="35"/>
        <v>0</v>
      </c>
      <c r="P139" s="162">
        <f t="shared" si="36"/>
        <v>0</v>
      </c>
    </row>
    <row r="140" spans="2:16">
      <c r="B140" s="9" t="str">
        <f t="shared" si="23"/>
        <v/>
      </c>
      <c r="C140" s="157">
        <f>IF(D93="","-",+C139+1)</f>
        <v>2050</v>
      </c>
      <c r="D140" s="158">
        <f>IF(F139+SUM(E$99:E139)=D$92,F139,D$92-SUM(E$99:E139))</f>
        <v>1020088</v>
      </c>
      <c r="E140" s="165">
        <f>IF(+J96&lt;F139,J96,D140)</f>
        <v>266420</v>
      </c>
      <c r="F140" s="163">
        <f t="shared" si="31"/>
        <v>753668</v>
      </c>
      <c r="G140" s="163">
        <f t="shared" si="32"/>
        <v>886878</v>
      </c>
      <c r="H140" s="167">
        <f t="shared" si="29"/>
        <v>357533.91403632337</v>
      </c>
      <c r="I140" s="312">
        <f t="shared" si="30"/>
        <v>357533.91403632337</v>
      </c>
      <c r="J140" s="162">
        <f t="shared" si="33"/>
        <v>0</v>
      </c>
      <c r="K140" s="162"/>
      <c r="L140" s="330"/>
      <c r="M140" s="162">
        <f t="shared" si="34"/>
        <v>0</v>
      </c>
      <c r="N140" s="330"/>
      <c r="O140" s="162">
        <f t="shared" si="35"/>
        <v>0</v>
      </c>
      <c r="P140" s="162">
        <f t="shared" si="36"/>
        <v>0</v>
      </c>
    </row>
    <row r="141" spans="2:16">
      <c r="B141" s="9" t="str">
        <f t="shared" si="23"/>
        <v/>
      </c>
      <c r="C141" s="157">
        <f>IF(D93="","-",+C140+1)</f>
        <v>2051</v>
      </c>
      <c r="D141" s="158">
        <f>IF(F140+SUM(E$99:E140)=D$92,F140,D$92-SUM(E$99:E140))</f>
        <v>753668</v>
      </c>
      <c r="E141" s="165">
        <f>IF(+J96&lt;F140,J96,D141)</f>
        <v>266420</v>
      </c>
      <c r="F141" s="163">
        <f t="shared" si="31"/>
        <v>487248</v>
      </c>
      <c r="G141" s="163">
        <f t="shared" si="32"/>
        <v>620458</v>
      </c>
      <c r="H141" s="167">
        <f t="shared" si="29"/>
        <v>330163.10432229587</v>
      </c>
      <c r="I141" s="312">
        <f t="shared" si="30"/>
        <v>330163.10432229587</v>
      </c>
      <c r="J141" s="162">
        <f t="shared" si="33"/>
        <v>0</v>
      </c>
      <c r="K141" s="162"/>
      <c r="L141" s="330"/>
      <c r="M141" s="162">
        <f t="shared" si="34"/>
        <v>0</v>
      </c>
      <c r="N141" s="330"/>
      <c r="O141" s="162">
        <f t="shared" si="35"/>
        <v>0</v>
      </c>
      <c r="P141" s="162">
        <f t="shared" si="36"/>
        <v>0</v>
      </c>
    </row>
    <row r="142" spans="2:16">
      <c r="B142" s="9" t="str">
        <f t="shared" si="23"/>
        <v/>
      </c>
      <c r="C142" s="157">
        <f>IF(D93="","-",+C141+1)</f>
        <v>2052</v>
      </c>
      <c r="D142" s="158">
        <f>IF(F141+SUM(E$99:E141)=D$92,F141,D$92-SUM(E$99:E141))</f>
        <v>487248</v>
      </c>
      <c r="E142" s="165">
        <f>IF(+J96&lt;F141,J96,D142)</f>
        <v>266420</v>
      </c>
      <c r="F142" s="163">
        <f t="shared" si="31"/>
        <v>220828</v>
      </c>
      <c r="G142" s="163">
        <f t="shared" si="32"/>
        <v>354038</v>
      </c>
      <c r="H142" s="167">
        <f t="shared" si="29"/>
        <v>302792.29460826836</v>
      </c>
      <c r="I142" s="312">
        <f t="shared" si="30"/>
        <v>302792.29460826836</v>
      </c>
      <c r="J142" s="162">
        <f t="shared" si="33"/>
        <v>0</v>
      </c>
      <c r="K142" s="162"/>
      <c r="L142" s="330"/>
      <c r="M142" s="162">
        <f t="shared" si="34"/>
        <v>0</v>
      </c>
      <c r="N142" s="330"/>
      <c r="O142" s="162">
        <f t="shared" si="35"/>
        <v>0</v>
      </c>
      <c r="P142" s="162">
        <f t="shared" si="36"/>
        <v>0</v>
      </c>
    </row>
    <row r="143" spans="2:16">
      <c r="B143" s="9" t="str">
        <f t="shared" si="23"/>
        <v/>
      </c>
      <c r="C143" s="157">
        <f>IF(D93="","-",+C142+1)</f>
        <v>2053</v>
      </c>
      <c r="D143" s="158">
        <f>IF(F142+SUM(E$99:E142)=D$92,F142,D$92-SUM(E$99:E142))</f>
        <v>220828</v>
      </c>
      <c r="E143" s="165">
        <f>IF(+J96&lt;F142,J96,D143)</f>
        <v>220828</v>
      </c>
      <c r="F143" s="163">
        <f t="shared" si="31"/>
        <v>0</v>
      </c>
      <c r="G143" s="163">
        <f t="shared" si="32"/>
        <v>110414</v>
      </c>
      <c r="H143" s="167">
        <f t="shared" si="29"/>
        <v>232171.44487562732</v>
      </c>
      <c r="I143" s="312">
        <f t="shared" si="30"/>
        <v>232171.44487562732</v>
      </c>
      <c r="J143" s="162">
        <f t="shared" si="33"/>
        <v>0</v>
      </c>
      <c r="K143" s="162"/>
      <c r="L143" s="330"/>
      <c r="M143" s="162">
        <f t="shared" si="34"/>
        <v>0</v>
      </c>
      <c r="N143" s="330"/>
      <c r="O143" s="162">
        <f t="shared" si="35"/>
        <v>0</v>
      </c>
      <c r="P143" s="162">
        <f t="shared" si="36"/>
        <v>0</v>
      </c>
    </row>
    <row r="144" spans="2:16">
      <c r="B144" s="9" t="str">
        <f t="shared" si="23"/>
        <v/>
      </c>
      <c r="C144" s="157">
        <f>IF(D93="","-",+C143+1)</f>
        <v>2054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1"/>
        <v>0</v>
      </c>
      <c r="G144" s="163">
        <f t="shared" si="32"/>
        <v>0</v>
      </c>
      <c r="H144" s="167">
        <f t="shared" si="29"/>
        <v>0</v>
      </c>
      <c r="I144" s="312">
        <f t="shared" si="30"/>
        <v>0</v>
      </c>
      <c r="J144" s="162">
        <f t="shared" si="33"/>
        <v>0</v>
      </c>
      <c r="K144" s="162"/>
      <c r="L144" s="330"/>
      <c r="M144" s="162">
        <f t="shared" si="34"/>
        <v>0</v>
      </c>
      <c r="N144" s="330"/>
      <c r="O144" s="162">
        <f t="shared" si="35"/>
        <v>0</v>
      </c>
      <c r="P144" s="162">
        <f t="shared" si="36"/>
        <v>0</v>
      </c>
    </row>
    <row r="145" spans="2:16">
      <c r="B145" s="9" t="str">
        <f t="shared" si="23"/>
        <v/>
      </c>
      <c r="C145" s="157">
        <f>IF(D93="","-",+C144+1)</f>
        <v>2055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1"/>
        <v>0</v>
      </c>
      <c r="G145" s="163">
        <f t="shared" si="32"/>
        <v>0</v>
      </c>
      <c r="H145" s="167">
        <f t="shared" si="29"/>
        <v>0</v>
      </c>
      <c r="I145" s="312">
        <f t="shared" si="30"/>
        <v>0</v>
      </c>
      <c r="J145" s="162">
        <f t="shared" si="33"/>
        <v>0</v>
      </c>
      <c r="K145" s="162"/>
      <c r="L145" s="330"/>
      <c r="M145" s="162">
        <f t="shared" si="34"/>
        <v>0</v>
      </c>
      <c r="N145" s="330"/>
      <c r="O145" s="162">
        <f t="shared" si="35"/>
        <v>0</v>
      </c>
      <c r="P145" s="162">
        <f t="shared" si="36"/>
        <v>0</v>
      </c>
    </row>
    <row r="146" spans="2:16">
      <c r="B146" s="9" t="str">
        <f t="shared" si="23"/>
        <v/>
      </c>
      <c r="C146" s="157">
        <f>IF(D93="","-",+C145+1)</f>
        <v>2056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1"/>
        <v>0</v>
      </c>
      <c r="G146" s="163">
        <f t="shared" si="32"/>
        <v>0</v>
      </c>
      <c r="H146" s="167">
        <f t="shared" si="29"/>
        <v>0</v>
      </c>
      <c r="I146" s="312">
        <f t="shared" si="30"/>
        <v>0</v>
      </c>
      <c r="J146" s="162">
        <f t="shared" si="33"/>
        <v>0</v>
      </c>
      <c r="K146" s="162"/>
      <c r="L146" s="330"/>
      <c r="M146" s="162">
        <f t="shared" si="34"/>
        <v>0</v>
      </c>
      <c r="N146" s="330"/>
      <c r="O146" s="162">
        <f t="shared" si="35"/>
        <v>0</v>
      </c>
      <c r="P146" s="162">
        <f t="shared" si="36"/>
        <v>0</v>
      </c>
    </row>
    <row r="147" spans="2:16">
      <c r="B147" s="9" t="str">
        <f t="shared" si="23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1"/>
        <v>0</v>
      </c>
      <c r="G147" s="163">
        <f t="shared" si="32"/>
        <v>0</v>
      </c>
      <c r="H147" s="167">
        <f t="shared" si="29"/>
        <v>0</v>
      </c>
      <c r="I147" s="312">
        <f t="shared" si="30"/>
        <v>0</v>
      </c>
      <c r="J147" s="162">
        <f t="shared" si="33"/>
        <v>0</v>
      </c>
      <c r="K147" s="162"/>
      <c r="L147" s="330"/>
      <c r="M147" s="162">
        <f t="shared" si="34"/>
        <v>0</v>
      </c>
      <c r="N147" s="330"/>
      <c r="O147" s="162">
        <f t="shared" si="35"/>
        <v>0</v>
      </c>
      <c r="P147" s="162">
        <f t="shared" si="36"/>
        <v>0</v>
      </c>
    </row>
    <row r="148" spans="2:16">
      <c r="B148" s="9" t="str">
        <f t="shared" si="23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1"/>
        <v>0</v>
      </c>
      <c r="G148" s="163">
        <f t="shared" si="32"/>
        <v>0</v>
      </c>
      <c r="H148" s="167">
        <f t="shared" si="29"/>
        <v>0</v>
      </c>
      <c r="I148" s="312">
        <f t="shared" si="30"/>
        <v>0</v>
      </c>
      <c r="J148" s="162">
        <f t="shared" si="33"/>
        <v>0</v>
      </c>
      <c r="K148" s="162"/>
      <c r="L148" s="330"/>
      <c r="M148" s="162">
        <f t="shared" si="34"/>
        <v>0</v>
      </c>
      <c r="N148" s="330"/>
      <c r="O148" s="162">
        <f t="shared" si="35"/>
        <v>0</v>
      </c>
      <c r="P148" s="162">
        <f t="shared" si="36"/>
        <v>0</v>
      </c>
    </row>
    <row r="149" spans="2:16">
      <c r="B149" s="9" t="str">
        <f t="shared" si="23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1"/>
        <v>0</v>
      </c>
      <c r="G149" s="163">
        <f t="shared" si="32"/>
        <v>0</v>
      </c>
      <c r="H149" s="167">
        <f t="shared" si="29"/>
        <v>0</v>
      </c>
      <c r="I149" s="312">
        <f t="shared" si="30"/>
        <v>0</v>
      </c>
      <c r="J149" s="162">
        <f t="shared" si="33"/>
        <v>0</v>
      </c>
      <c r="K149" s="162"/>
      <c r="L149" s="330"/>
      <c r="M149" s="162">
        <f t="shared" si="34"/>
        <v>0</v>
      </c>
      <c r="N149" s="330"/>
      <c r="O149" s="162">
        <f t="shared" si="35"/>
        <v>0</v>
      </c>
      <c r="P149" s="162">
        <f t="shared" si="36"/>
        <v>0</v>
      </c>
    </row>
    <row r="150" spans="2:16">
      <c r="B150" s="9" t="str">
        <f t="shared" si="23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1"/>
        <v>0</v>
      </c>
      <c r="G150" s="163">
        <f t="shared" si="32"/>
        <v>0</v>
      </c>
      <c r="H150" s="167">
        <f t="shared" si="29"/>
        <v>0</v>
      </c>
      <c r="I150" s="312">
        <f t="shared" si="30"/>
        <v>0</v>
      </c>
      <c r="J150" s="162">
        <f t="shared" si="33"/>
        <v>0</v>
      </c>
      <c r="K150" s="162"/>
      <c r="L150" s="330"/>
      <c r="M150" s="162">
        <f t="shared" si="34"/>
        <v>0</v>
      </c>
      <c r="N150" s="330"/>
      <c r="O150" s="162">
        <f t="shared" si="35"/>
        <v>0</v>
      </c>
      <c r="P150" s="162">
        <f t="shared" si="36"/>
        <v>0</v>
      </c>
    </row>
    <row r="151" spans="2:16">
      <c r="B151" s="9" t="str">
        <f t="shared" si="23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1"/>
        <v>0</v>
      </c>
      <c r="G151" s="163">
        <f t="shared" si="32"/>
        <v>0</v>
      </c>
      <c r="H151" s="167">
        <f t="shared" si="29"/>
        <v>0</v>
      </c>
      <c r="I151" s="312">
        <f t="shared" si="30"/>
        <v>0</v>
      </c>
      <c r="J151" s="162">
        <f t="shared" si="33"/>
        <v>0</v>
      </c>
      <c r="K151" s="162"/>
      <c r="L151" s="330"/>
      <c r="M151" s="162">
        <f t="shared" si="34"/>
        <v>0</v>
      </c>
      <c r="N151" s="330"/>
      <c r="O151" s="162">
        <f t="shared" si="35"/>
        <v>0</v>
      </c>
      <c r="P151" s="162">
        <f t="shared" si="36"/>
        <v>0</v>
      </c>
    </row>
    <row r="152" spans="2:16">
      <c r="B152" s="9" t="str">
        <f t="shared" si="23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1"/>
        <v>0</v>
      </c>
      <c r="G152" s="163">
        <f t="shared" si="32"/>
        <v>0</v>
      </c>
      <c r="H152" s="167">
        <f t="shared" si="29"/>
        <v>0</v>
      </c>
      <c r="I152" s="312">
        <f t="shared" si="30"/>
        <v>0</v>
      </c>
      <c r="J152" s="162">
        <f t="shared" si="33"/>
        <v>0</v>
      </c>
      <c r="K152" s="162"/>
      <c r="L152" s="330"/>
      <c r="M152" s="162">
        <f t="shared" si="34"/>
        <v>0</v>
      </c>
      <c r="N152" s="330"/>
      <c r="O152" s="162">
        <f t="shared" si="35"/>
        <v>0</v>
      </c>
      <c r="P152" s="162">
        <f t="shared" si="36"/>
        <v>0</v>
      </c>
    </row>
    <row r="153" spans="2:16">
      <c r="B153" s="9" t="str">
        <f t="shared" si="23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1"/>
        <v>0</v>
      </c>
      <c r="G153" s="163">
        <f t="shared" si="32"/>
        <v>0</v>
      </c>
      <c r="H153" s="167">
        <f t="shared" si="29"/>
        <v>0</v>
      </c>
      <c r="I153" s="312">
        <f t="shared" si="30"/>
        <v>0</v>
      </c>
      <c r="J153" s="162">
        <f t="shared" si="33"/>
        <v>0</v>
      </c>
      <c r="K153" s="162"/>
      <c r="L153" s="330"/>
      <c r="M153" s="162">
        <f t="shared" si="34"/>
        <v>0</v>
      </c>
      <c r="N153" s="330"/>
      <c r="O153" s="162">
        <f t="shared" si="35"/>
        <v>0</v>
      </c>
      <c r="P153" s="162">
        <f t="shared" si="36"/>
        <v>0</v>
      </c>
    </row>
    <row r="154" spans="2:16" ht="13.5" thickBot="1">
      <c r="B154" s="9" t="str">
        <f t="shared" si="23"/>
        <v/>
      </c>
      <c r="C154" s="168">
        <f>IF(D93="","-",+C153+1)</f>
        <v>2064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31"/>
        <v>0</v>
      </c>
      <c r="G154" s="169">
        <f t="shared" si="32"/>
        <v>0</v>
      </c>
      <c r="H154" s="171">
        <f t="shared" si="29"/>
        <v>0</v>
      </c>
      <c r="I154" s="313">
        <f t="shared" si="30"/>
        <v>0</v>
      </c>
      <c r="J154" s="173">
        <f t="shared" si="33"/>
        <v>0</v>
      </c>
      <c r="K154" s="162"/>
      <c r="L154" s="331"/>
      <c r="M154" s="173">
        <f t="shared" si="34"/>
        <v>0</v>
      </c>
      <c r="N154" s="331"/>
      <c r="O154" s="173">
        <f t="shared" si="35"/>
        <v>0</v>
      </c>
      <c r="P154" s="173">
        <f t="shared" si="36"/>
        <v>0</v>
      </c>
    </row>
    <row r="155" spans="2:16">
      <c r="C155" s="158" t="s">
        <v>77</v>
      </c>
      <c r="D155" s="115"/>
      <c r="E155" s="115">
        <f>SUM(E99:E154)</f>
        <v>11456065</v>
      </c>
      <c r="F155" s="115"/>
      <c r="G155" s="115"/>
      <c r="H155" s="115">
        <f>SUM(H99:H154)</f>
        <v>41927559.033892021</v>
      </c>
      <c r="I155" s="115">
        <f>SUM(I99:I154)</f>
        <v>41927559.033892021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100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107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78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79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62"/>
  <sheetViews>
    <sheetView view="pageBreakPreview" zoomScale="75" zoomScaleNormal="100" zoomScaleSheetLayoutView="50" workbookViewId="0">
      <selection activeCell="D27" sqref="D27:H2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4 of 28</v>
      </c>
    </row>
    <row r="2" spans="1:16" ht="20.25">
      <c r="A2" s="112"/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 t="s">
        <v>251</v>
      </c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VLOOKUP(I10,C17:I72,5)-O5</f>
        <v>1895603.111111111</v>
      </c>
      <c r="O5" s="398">
        <f>1307.4*12</f>
        <v>15688.800000000001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VLOOKUP(I10,C17:I72,6)-O5</f>
        <v>1895603.111111111</v>
      </c>
      <c r="O6" s="1"/>
      <c r="P6" s="1"/>
    </row>
    <row r="7" spans="1:16" ht="13.5" thickBot="1">
      <c r="C7" s="127" t="s">
        <v>46</v>
      </c>
      <c r="D7" s="338" t="s">
        <v>207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82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14615636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2008</v>
      </c>
      <c r="E11" s="141" t="s">
        <v>54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7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324791.91111111111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354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2008</v>
      </c>
      <c r="D17" s="364">
        <v>2264444</v>
      </c>
      <c r="E17" s="362">
        <v>21774</v>
      </c>
      <c r="F17" s="361">
        <v>2242670</v>
      </c>
      <c r="G17" s="362">
        <v>215833</v>
      </c>
      <c r="H17" s="362">
        <v>215833</v>
      </c>
      <c r="I17" s="160">
        <f t="shared" ref="I17:I48" si="0">H17-G17</f>
        <v>0</v>
      </c>
      <c r="J17" s="175"/>
      <c r="K17" s="333">
        <v>215833</v>
      </c>
      <c r="L17" s="353">
        <f t="shared" ref="L17:L48" si="1">IF(K17&lt;&gt;0,+G17-K17,0)</f>
        <v>0</v>
      </c>
      <c r="M17" s="332">
        <v>215833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2009</v>
      </c>
      <c r="D18" s="361">
        <v>14429811</v>
      </c>
      <c r="E18" s="363">
        <v>274418</v>
      </c>
      <c r="F18" s="361">
        <v>14155393</v>
      </c>
      <c r="G18" s="363">
        <v>2443110</v>
      </c>
      <c r="H18" s="363">
        <v>2443110</v>
      </c>
      <c r="I18" s="160">
        <f t="shared" si="0"/>
        <v>0</v>
      </c>
      <c r="J18" s="160"/>
      <c r="K18" s="333">
        <v>2443110</v>
      </c>
      <c r="L18" s="162">
        <f t="shared" si="1"/>
        <v>0</v>
      </c>
      <c r="M18" s="333">
        <v>2443110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66">
        <v>14390719</v>
      </c>
      <c r="E19" s="363">
        <v>262266.26785714284</v>
      </c>
      <c r="F19" s="366">
        <v>14128452.732142856</v>
      </c>
      <c r="G19" s="363">
        <v>2300952.2678571427</v>
      </c>
      <c r="H19" s="365">
        <v>2300952.2678571427</v>
      </c>
      <c r="I19" s="160">
        <f t="shared" si="0"/>
        <v>0</v>
      </c>
      <c r="J19" s="160"/>
      <c r="K19" s="333">
        <f t="shared" ref="K19:K24" si="4">G19</f>
        <v>2300952.2678571427</v>
      </c>
      <c r="L19" s="269">
        <f t="shared" si="1"/>
        <v>0</v>
      </c>
      <c r="M19" s="333">
        <f t="shared" ref="M19:M24" si="5">H19</f>
        <v>2300952.2678571427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>IU</v>
      </c>
      <c r="C20" s="157">
        <f>IF(D11="","-",+C19+1)</f>
        <v>2011</v>
      </c>
      <c r="D20" s="366">
        <v>14057177.732142856</v>
      </c>
      <c r="E20" s="363">
        <v>286581.09803921566</v>
      </c>
      <c r="F20" s="366">
        <v>13770596.634103641</v>
      </c>
      <c r="G20" s="363">
        <v>2442276.0980392154</v>
      </c>
      <c r="H20" s="365">
        <v>2442276.0980392154</v>
      </c>
      <c r="I20" s="160">
        <f t="shared" si="0"/>
        <v>0</v>
      </c>
      <c r="J20" s="160"/>
      <c r="K20" s="333">
        <f t="shared" si="4"/>
        <v>2442276.0980392154</v>
      </c>
      <c r="L20" s="269">
        <f t="shared" si="1"/>
        <v>0</v>
      </c>
      <c r="M20" s="333">
        <f t="shared" si="5"/>
        <v>2442276.0980392154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2012</v>
      </c>
      <c r="D21" s="366">
        <v>13770596.634103641</v>
      </c>
      <c r="E21" s="363">
        <v>281069.92307692306</v>
      </c>
      <c r="F21" s="366">
        <v>13489526.711026717</v>
      </c>
      <c r="G21" s="363">
        <v>2158902.923076923</v>
      </c>
      <c r="H21" s="365">
        <v>2158902.923076923</v>
      </c>
      <c r="I21" s="160">
        <f t="shared" si="0"/>
        <v>0</v>
      </c>
      <c r="J21" s="160"/>
      <c r="K21" s="333">
        <f t="shared" si="4"/>
        <v>2158902.923076923</v>
      </c>
      <c r="L21" s="269">
        <f t="shared" si="1"/>
        <v>0</v>
      </c>
      <c r="M21" s="333">
        <f t="shared" si="5"/>
        <v>2158902.923076923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66">
        <v>13489526.711026717</v>
      </c>
      <c r="E22" s="363">
        <v>281069.92307692306</v>
      </c>
      <c r="F22" s="366">
        <v>13208456.787949793</v>
      </c>
      <c r="G22" s="363">
        <v>2167326.923076923</v>
      </c>
      <c r="H22" s="365">
        <v>2167326.923076923</v>
      </c>
      <c r="I22" s="160">
        <v>0</v>
      </c>
      <c r="J22" s="160"/>
      <c r="K22" s="333">
        <f t="shared" si="4"/>
        <v>2167326.923076923</v>
      </c>
      <c r="L22" s="269">
        <f t="shared" ref="L22:L27" si="7">IF(K22&lt;&gt;0,+G22-K22,0)</f>
        <v>0</v>
      </c>
      <c r="M22" s="333">
        <f t="shared" si="5"/>
        <v>2167326.923076923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66">
        <v>13208456.787949793</v>
      </c>
      <c r="E23" s="363">
        <v>281069.92307692306</v>
      </c>
      <c r="F23" s="366">
        <v>12927386.864872869</v>
      </c>
      <c r="G23" s="363">
        <v>2060637.923076923</v>
      </c>
      <c r="H23" s="365">
        <v>2060637.923076923</v>
      </c>
      <c r="I23" s="160">
        <v>0</v>
      </c>
      <c r="J23" s="160"/>
      <c r="K23" s="333">
        <f t="shared" si="4"/>
        <v>2060637.923076923</v>
      </c>
      <c r="L23" s="269">
        <f t="shared" si="7"/>
        <v>0</v>
      </c>
      <c r="M23" s="333">
        <f t="shared" si="5"/>
        <v>2060637.923076923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66">
        <v>12927386.864872869</v>
      </c>
      <c r="E24" s="363">
        <v>281069.92307692306</v>
      </c>
      <c r="F24" s="366">
        <v>12646316.941795945</v>
      </c>
      <c r="G24" s="363">
        <v>2024638.923076923</v>
      </c>
      <c r="H24" s="365">
        <v>2024638.923076923</v>
      </c>
      <c r="I24" s="160">
        <v>0</v>
      </c>
      <c r="J24" s="160"/>
      <c r="K24" s="333">
        <f t="shared" si="4"/>
        <v>2024638.923076923</v>
      </c>
      <c r="L24" s="269">
        <f t="shared" si="7"/>
        <v>0</v>
      </c>
      <c r="M24" s="333">
        <f t="shared" si="5"/>
        <v>2024638.923076923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66">
        <v>12646316.941795945</v>
      </c>
      <c r="E25" s="363">
        <v>281069.92307692306</v>
      </c>
      <c r="F25" s="366">
        <v>12365247.018719021</v>
      </c>
      <c r="G25" s="363">
        <v>1902890.923076923</v>
      </c>
      <c r="H25" s="365">
        <v>1902890.923076923</v>
      </c>
      <c r="I25" s="160">
        <f t="shared" si="0"/>
        <v>0</v>
      </c>
      <c r="J25" s="160"/>
      <c r="K25" s="333">
        <f>G25</f>
        <v>1902890.923076923</v>
      </c>
      <c r="L25" s="269">
        <f t="shared" si="7"/>
        <v>0</v>
      </c>
      <c r="M25" s="333">
        <f>H25</f>
        <v>1902890.923076923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66">
        <v>12365247.018719021</v>
      </c>
      <c r="E26" s="363">
        <v>317731.21739130432</v>
      </c>
      <c r="F26" s="366">
        <v>12047515.801327717</v>
      </c>
      <c r="G26" s="363">
        <v>1850906.2173913042</v>
      </c>
      <c r="H26" s="365">
        <v>1850906.2173913042</v>
      </c>
      <c r="I26" s="160">
        <f t="shared" si="0"/>
        <v>0</v>
      </c>
      <c r="J26" s="160"/>
      <c r="K26" s="333">
        <f>G26</f>
        <v>1850906.2173913042</v>
      </c>
      <c r="L26" s="269">
        <f t="shared" si="7"/>
        <v>0</v>
      </c>
      <c r="M26" s="333">
        <f>H26</f>
        <v>1850906.2173913042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66">
        <v>12047515.801327717</v>
      </c>
      <c r="E27" s="363">
        <v>324791.91111111111</v>
      </c>
      <c r="F27" s="366">
        <v>11722723.890216606</v>
      </c>
      <c r="G27" s="363">
        <v>1911291.9111111111</v>
      </c>
      <c r="H27" s="365">
        <v>1911291.9111111111</v>
      </c>
      <c r="I27" s="160">
        <f t="shared" si="0"/>
        <v>0</v>
      </c>
      <c r="J27" s="160"/>
      <c r="K27" s="333">
        <f>G27</f>
        <v>1911291.9111111111</v>
      </c>
      <c r="L27" s="269">
        <f t="shared" si="7"/>
        <v>0</v>
      </c>
      <c r="M27" s="333">
        <f>H27</f>
        <v>1911291.9111111111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163">
        <f>IF(F27+SUM(E$17:E27)=D$10,F27,D$10-SUM(E$17:E27))</f>
        <v>11722723.890216606</v>
      </c>
      <c r="E28" s="164">
        <f>IF(+I14&lt;F27,I14,D28)</f>
        <v>324791.91111111111</v>
      </c>
      <c r="F28" s="163">
        <f t="shared" ref="F28:F72" si="10">+D28-E28</f>
        <v>11397931.979105495</v>
      </c>
      <c r="G28" s="165">
        <f t="shared" ref="G28:G72" si="11">ROUND(I$12*F28,0)+E28</f>
        <v>1867335.9111111111</v>
      </c>
      <c r="H28" s="147">
        <f t="shared" ref="H28:H72" si="12">ROUND(I$13*F28,0)+E28</f>
        <v>1867335.9111111111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11397931.979105495</v>
      </c>
      <c r="E29" s="164">
        <f>IF(+I14&lt;F28,I14,D29)</f>
        <v>324791.91111111111</v>
      </c>
      <c r="F29" s="163">
        <f t="shared" si="10"/>
        <v>11073140.067994384</v>
      </c>
      <c r="G29" s="165">
        <f t="shared" si="11"/>
        <v>1823379.9111111111</v>
      </c>
      <c r="H29" s="147">
        <f t="shared" si="12"/>
        <v>1823379.9111111111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11073140.067994384</v>
      </c>
      <c r="E30" s="164">
        <f>IF(+I14&lt;F29,I14,D30)</f>
        <v>324791.91111111111</v>
      </c>
      <c r="F30" s="163">
        <f t="shared" si="10"/>
        <v>10748348.156883273</v>
      </c>
      <c r="G30" s="165">
        <f t="shared" si="11"/>
        <v>1779423.9111111111</v>
      </c>
      <c r="H30" s="147">
        <f t="shared" si="12"/>
        <v>1779423.9111111111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10748348.156883273</v>
      </c>
      <c r="E31" s="164">
        <f>IF(+I14&lt;F30,I14,D31)</f>
        <v>324791.91111111111</v>
      </c>
      <c r="F31" s="163">
        <f t="shared" si="10"/>
        <v>10423556.245772162</v>
      </c>
      <c r="G31" s="165">
        <f t="shared" si="11"/>
        <v>1735467.9111111111</v>
      </c>
      <c r="H31" s="147">
        <f t="shared" si="12"/>
        <v>1735467.9111111111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10423556.245772162</v>
      </c>
      <c r="E32" s="164">
        <f>IF(+I14&lt;F31,I14,D32)</f>
        <v>324791.91111111111</v>
      </c>
      <c r="F32" s="163">
        <f t="shared" si="10"/>
        <v>10098764.334661052</v>
      </c>
      <c r="G32" s="165">
        <f t="shared" si="11"/>
        <v>1691511.9111111111</v>
      </c>
      <c r="H32" s="147">
        <f t="shared" si="12"/>
        <v>1691511.9111111111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10098764.334661052</v>
      </c>
      <c r="E33" s="164">
        <f>IF(+I14&lt;F32,I14,D33)</f>
        <v>324791.91111111111</v>
      </c>
      <c r="F33" s="163">
        <f t="shared" si="10"/>
        <v>9773972.4235499408</v>
      </c>
      <c r="G33" s="165">
        <f t="shared" si="11"/>
        <v>1647556.9111111111</v>
      </c>
      <c r="H33" s="147">
        <f t="shared" si="12"/>
        <v>1647556.9111111111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9773972.4235499408</v>
      </c>
      <c r="E34" s="164">
        <f>IF(+I14&lt;F33,I14,D34)</f>
        <v>324791.91111111111</v>
      </c>
      <c r="F34" s="163">
        <f t="shared" si="10"/>
        <v>9449180.51243883</v>
      </c>
      <c r="G34" s="165">
        <f t="shared" si="11"/>
        <v>1603600.9111111111</v>
      </c>
      <c r="H34" s="147">
        <f t="shared" si="12"/>
        <v>1603600.9111111111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9449180.51243883</v>
      </c>
      <c r="E35" s="164">
        <f>IF(+I14&lt;F34,I14,D35)</f>
        <v>324791.91111111111</v>
      </c>
      <c r="F35" s="163">
        <f t="shared" si="10"/>
        <v>9124388.6013277192</v>
      </c>
      <c r="G35" s="165">
        <f t="shared" si="11"/>
        <v>1559644.9111111111</v>
      </c>
      <c r="H35" s="147">
        <f t="shared" si="12"/>
        <v>1559644.9111111111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9124388.6013277192</v>
      </c>
      <c r="E36" s="164">
        <f>IF(+I14&lt;F35,I14,D36)</f>
        <v>324791.91111111111</v>
      </c>
      <c r="F36" s="163">
        <f t="shared" si="10"/>
        <v>8799596.6902166083</v>
      </c>
      <c r="G36" s="165">
        <f t="shared" si="11"/>
        <v>1515688.9111111111</v>
      </c>
      <c r="H36" s="147">
        <f t="shared" si="12"/>
        <v>1515688.9111111111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8799596.6902166083</v>
      </c>
      <c r="E37" s="164">
        <f>IF(+I14&lt;F36,I14,D37)</f>
        <v>324791.91111111111</v>
      </c>
      <c r="F37" s="163">
        <f t="shared" si="10"/>
        <v>8474804.7791054975</v>
      </c>
      <c r="G37" s="165">
        <f t="shared" si="11"/>
        <v>1471732.9111111111</v>
      </c>
      <c r="H37" s="147">
        <f t="shared" si="12"/>
        <v>1471732.9111111111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8474804.7791054975</v>
      </c>
      <c r="E38" s="164">
        <f>IF(+I14&lt;F37,I14,D38)</f>
        <v>324791.91111111111</v>
      </c>
      <c r="F38" s="163">
        <f t="shared" si="10"/>
        <v>8150012.8679943867</v>
      </c>
      <c r="G38" s="165">
        <f t="shared" si="11"/>
        <v>1427776.9111111111</v>
      </c>
      <c r="H38" s="147">
        <f t="shared" si="12"/>
        <v>1427776.9111111111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8150012.8679943867</v>
      </c>
      <c r="E39" s="164">
        <f>IF(+I14&lt;F38,I14,D39)</f>
        <v>324791.91111111111</v>
      </c>
      <c r="F39" s="163">
        <f t="shared" si="10"/>
        <v>7825220.9568832759</v>
      </c>
      <c r="G39" s="165">
        <f t="shared" si="11"/>
        <v>1383820.9111111111</v>
      </c>
      <c r="H39" s="147">
        <f t="shared" si="12"/>
        <v>1383820.9111111111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7825220.9568832759</v>
      </c>
      <c r="E40" s="164">
        <f>IF(+I14&lt;F39,I14,D40)</f>
        <v>324791.91111111111</v>
      </c>
      <c r="F40" s="163">
        <f t="shared" si="10"/>
        <v>7500429.0457721651</v>
      </c>
      <c r="G40" s="165">
        <f t="shared" si="11"/>
        <v>1339865.9111111111</v>
      </c>
      <c r="H40" s="147">
        <f t="shared" si="12"/>
        <v>1339865.9111111111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7500429.0457721651</v>
      </c>
      <c r="E41" s="164">
        <f>IF(+I14&lt;F40,I14,D41)</f>
        <v>324791.91111111111</v>
      </c>
      <c r="F41" s="163">
        <f t="shared" si="10"/>
        <v>7175637.1346610542</v>
      </c>
      <c r="G41" s="165">
        <f t="shared" si="11"/>
        <v>1295909.9111111111</v>
      </c>
      <c r="H41" s="147">
        <f t="shared" si="12"/>
        <v>1295909.9111111111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7175637.1346610542</v>
      </c>
      <c r="E42" s="164">
        <f>IF(+I14&lt;F41,I14,D42)</f>
        <v>324791.91111111111</v>
      </c>
      <c r="F42" s="163">
        <f t="shared" si="10"/>
        <v>6850845.2235499434</v>
      </c>
      <c r="G42" s="165">
        <f t="shared" si="11"/>
        <v>1251953.9111111111</v>
      </c>
      <c r="H42" s="147">
        <f t="shared" si="12"/>
        <v>1251953.9111111111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6850845.2235499434</v>
      </c>
      <c r="E43" s="164">
        <f>IF(+I14&lt;F42,I14,D43)</f>
        <v>324791.91111111111</v>
      </c>
      <c r="F43" s="163">
        <f t="shared" si="10"/>
        <v>6526053.3124388326</v>
      </c>
      <c r="G43" s="165">
        <f t="shared" si="11"/>
        <v>1207997.9111111111</v>
      </c>
      <c r="H43" s="147">
        <f t="shared" si="12"/>
        <v>1207997.9111111111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6526053.3124388326</v>
      </c>
      <c r="E44" s="164">
        <f>IF(+I14&lt;F43,I14,D44)</f>
        <v>324791.91111111111</v>
      </c>
      <c r="F44" s="163">
        <f t="shared" si="10"/>
        <v>6201261.4013277218</v>
      </c>
      <c r="G44" s="165">
        <f t="shared" si="11"/>
        <v>1164041.9111111111</v>
      </c>
      <c r="H44" s="147">
        <f t="shared" si="12"/>
        <v>1164041.9111111111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6201261.4013277218</v>
      </c>
      <c r="E45" s="164">
        <f>IF(+I14&lt;F44,I14,D45)</f>
        <v>324791.91111111111</v>
      </c>
      <c r="F45" s="163">
        <f t="shared" si="10"/>
        <v>5876469.490216611</v>
      </c>
      <c r="G45" s="165">
        <f t="shared" si="11"/>
        <v>1120085.9111111111</v>
      </c>
      <c r="H45" s="147">
        <f t="shared" si="12"/>
        <v>1120085.9111111111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5876469.490216611</v>
      </c>
      <c r="E46" s="164">
        <f>IF(+I14&lt;F45,I14,D46)</f>
        <v>324791.91111111111</v>
      </c>
      <c r="F46" s="163">
        <f t="shared" si="10"/>
        <v>5551677.5791055001</v>
      </c>
      <c r="G46" s="165">
        <f t="shared" si="11"/>
        <v>1076130.9111111111</v>
      </c>
      <c r="H46" s="147">
        <f t="shared" si="12"/>
        <v>1076130.9111111111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5551677.5791055001</v>
      </c>
      <c r="E47" s="164">
        <f>IF(+I14&lt;F46,I14,D47)</f>
        <v>324791.91111111111</v>
      </c>
      <c r="F47" s="163">
        <f t="shared" si="10"/>
        <v>5226885.6679943893</v>
      </c>
      <c r="G47" s="165">
        <f t="shared" si="11"/>
        <v>1032174.9111111111</v>
      </c>
      <c r="H47" s="147">
        <f t="shared" si="12"/>
        <v>1032174.9111111111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5226885.6679943893</v>
      </c>
      <c r="E48" s="164">
        <f>IF(+I14&lt;F47,I14,D48)</f>
        <v>324791.91111111111</v>
      </c>
      <c r="F48" s="163">
        <f t="shared" si="10"/>
        <v>4902093.7568832785</v>
      </c>
      <c r="G48" s="165">
        <f t="shared" si="11"/>
        <v>988218.91111111105</v>
      </c>
      <c r="H48" s="147">
        <f t="shared" si="12"/>
        <v>988218.91111111105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4902093.7568832785</v>
      </c>
      <c r="E49" s="164">
        <f>IF(+I14&lt;F48,I14,D49)</f>
        <v>324791.91111111111</v>
      </c>
      <c r="F49" s="163">
        <f t="shared" si="10"/>
        <v>4577301.8457721677</v>
      </c>
      <c r="G49" s="165">
        <f t="shared" si="11"/>
        <v>944262.91111111105</v>
      </c>
      <c r="H49" s="147">
        <f t="shared" si="12"/>
        <v>944262.91111111105</v>
      </c>
      <c r="I49" s="160">
        <f t="shared" ref="I49:I72" si="13">H49-G49</f>
        <v>0</v>
      </c>
      <c r="J49" s="160"/>
      <c r="K49" s="330"/>
      <c r="L49" s="162">
        <f t="shared" ref="L49:L72" si="14">IF(K49&lt;&gt;0,+G49-K49,0)</f>
        <v>0</v>
      </c>
      <c r="M49" s="330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4577301.8457721677</v>
      </c>
      <c r="E50" s="164">
        <f>IF(+I14&lt;F49,I14,D50)</f>
        <v>324791.91111111111</v>
      </c>
      <c r="F50" s="163">
        <f t="shared" si="10"/>
        <v>4252509.9346610568</v>
      </c>
      <c r="G50" s="165">
        <f t="shared" si="11"/>
        <v>900306.91111111105</v>
      </c>
      <c r="H50" s="147">
        <f t="shared" si="12"/>
        <v>900306.91111111105</v>
      </c>
      <c r="I50" s="160">
        <f t="shared" si="13"/>
        <v>0</v>
      </c>
      <c r="J50" s="160"/>
      <c r="K50" s="330"/>
      <c r="L50" s="162">
        <f t="shared" si="14"/>
        <v>0</v>
      </c>
      <c r="M50" s="330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4252509.9346610568</v>
      </c>
      <c r="E51" s="164">
        <f>IF(+I14&lt;F50,I14,D51)</f>
        <v>324791.91111111111</v>
      </c>
      <c r="F51" s="163">
        <f t="shared" si="10"/>
        <v>3927718.0235499456</v>
      </c>
      <c r="G51" s="165">
        <f t="shared" si="11"/>
        <v>856350.91111111105</v>
      </c>
      <c r="H51" s="147">
        <f t="shared" si="12"/>
        <v>856350.91111111105</v>
      </c>
      <c r="I51" s="160">
        <f t="shared" si="13"/>
        <v>0</v>
      </c>
      <c r="J51" s="160"/>
      <c r="K51" s="330"/>
      <c r="L51" s="162">
        <f t="shared" si="14"/>
        <v>0</v>
      </c>
      <c r="M51" s="330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3927718.0235499456</v>
      </c>
      <c r="E52" s="164">
        <f>IF(+I14&lt;F51,I14,D52)</f>
        <v>324791.91111111111</v>
      </c>
      <c r="F52" s="163">
        <f t="shared" si="10"/>
        <v>3602926.1124388343</v>
      </c>
      <c r="G52" s="165">
        <f t="shared" si="11"/>
        <v>812394.91111111105</v>
      </c>
      <c r="H52" s="147">
        <f t="shared" si="12"/>
        <v>812394.91111111105</v>
      </c>
      <c r="I52" s="160">
        <f t="shared" si="13"/>
        <v>0</v>
      </c>
      <c r="J52" s="160"/>
      <c r="K52" s="330"/>
      <c r="L52" s="162">
        <f t="shared" si="14"/>
        <v>0</v>
      </c>
      <c r="M52" s="330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3602926.1124388343</v>
      </c>
      <c r="E53" s="164">
        <f>IF(+I14&lt;F52,I14,D53)</f>
        <v>324791.91111111111</v>
      </c>
      <c r="F53" s="163">
        <f t="shared" si="10"/>
        <v>3278134.201327723</v>
      </c>
      <c r="G53" s="165">
        <f t="shared" si="11"/>
        <v>768439.91111111105</v>
      </c>
      <c r="H53" s="147">
        <f t="shared" si="12"/>
        <v>768439.91111111105</v>
      </c>
      <c r="I53" s="160">
        <f t="shared" si="13"/>
        <v>0</v>
      </c>
      <c r="J53" s="160"/>
      <c r="K53" s="330"/>
      <c r="L53" s="162">
        <f t="shared" si="14"/>
        <v>0</v>
      </c>
      <c r="M53" s="330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3278134.201327723</v>
      </c>
      <c r="E54" s="164">
        <f>IF(+I14&lt;F53,I14,D54)</f>
        <v>324791.91111111111</v>
      </c>
      <c r="F54" s="163">
        <f t="shared" si="10"/>
        <v>2953342.2902166117</v>
      </c>
      <c r="G54" s="165">
        <f t="shared" si="11"/>
        <v>724483.91111111105</v>
      </c>
      <c r="H54" s="147">
        <f t="shared" si="12"/>
        <v>724483.91111111105</v>
      </c>
      <c r="I54" s="160">
        <f t="shared" si="13"/>
        <v>0</v>
      </c>
      <c r="J54" s="160"/>
      <c r="K54" s="330"/>
      <c r="L54" s="162">
        <f t="shared" si="14"/>
        <v>0</v>
      </c>
      <c r="M54" s="330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2953342.2902166117</v>
      </c>
      <c r="E55" s="164">
        <f>IF(+I14&lt;F54,I14,D55)</f>
        <v>324791.91111111111</v>
      </c>
      <c r="F55" s="163">
        <f t="shared" si="10"/>
        <v>2628550.3791055004</v>
      </c>
      <c r="G55" s="165">
        <f t="shared" si="11"/>
        <v>680527.91111111105</v>
      </c>
      <c r="H55" s="147">
        <f t="shared" si="12"/>
        <v>680527.91111111105</v>
      </c>
      <c r="I55" s="160">
        <f t="shared" si="13"/>
        <v>0</v>
      </c>
      <c r="J55" s="160"/>
      <c r="K55" s="330"/>
      <c r="L55" s="162">
        <f t="shared" si="14"/>
        <v>0</v>
      </c>
      <c r="M55" s="330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2628550.3791055004</v>
      </c>
      <c r="E56" s="164">
        <f>IF(+I14&lt;F55,I14,D56)</f>
        <v>324791.91111111111</v>
      </c>
      <c r="F56" s="163">
        <f t="shared" si="10"/>
        <v>2303758.4679943891</v>
      </c>
      <c r="G56" s="165">
        <f t="shared" si="11"/>
        <v>636571.91111111105</v>
      </c>
      <c r="H56" s="147">
        <f t="shared" si="12"/>
        <v>636571.91111111105</v>
      </c>
      <c r="I56" s="160">
        <f t="shared" si="13"/>
        <v>0</v>
      </c>
      <c r="J56" s="160"/>
      <c r="K56" s="330"/>
      <c r="L56" s="162">
        <f t="shared" si="14"/>
        <v>0</v>
      </c>
      <c r="M56" s="330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2303758.4679943891</v>
      </c>
      <c r="E57" s="164">
        <f>IF(+I14&lt;F56,I14,D57)</f>
        <v>324791.91111111111</v>
      </c>
      <c r="F57" s="163">
        <f t="shared" si="10"/>
        <v>1978966.5568832781</v>
      </c>
      <c r="G57" s="165">
        <f t="shared" si="11"/>
        <v>592615.91111111105</v>
      </c>
      <c r="H57" s="147">
        <f t="shared" si="12"/>
        <v>592615.91111111105</v>
      </c>
      <c r="I57" s="160">
        <f t="shared" si="13"/>
        <v>0</v>
      </c>
      <c r="J57" s="160"/>
      <c r="K57" s="330"/>
      <c r="L57" s="162">
        <f t="shared" si="14"/>
        <v>0</v>
      </c>
      <c r="M57" s="330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1978966.5568832781</v>
      </c>
      <c r="E58" s="164">
        <f>IF(+I14&lt;F57,I14,D58)</f>
        <v>324791.91111111111</v>
      </c>
      <c r="F58" s="163">
        <f t="shared" si="10"/>
        <v>1654174.645772167</v>
      </c>
      <c r="G58" s="165">
        <f t="shared" si="11"/>
        <v>548659.91111111105</v>
      </c>
      <c r="H58" s="147">
        <f t="shared" si="12"/>
        <v>548659.91111111105</v>
      </c>
      <c r="I58" s="160">
        <f t="shared" si="13"/>
        <v>0</v>
      </c>
      <c r="J58" s="160"/>
      <c r="K58" s="330"/>
      <c r="L58" s="162">
        <f t="shared" si="14"/>
        <v>0</v>
      </c>
      <c r="M58" s="330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1654174.645772167</v>
      </c>
      <c r="E59" s="164">
        <f>IF(+I14&lt;F58,I14,D59)</f>
        <v>324791.91111111111</v>
      </c>
      <c r="F59" s="163">
        <f t="shared" si="10"/>
        <v>1329382.734661056</v>
      </c>
      <c r="G59" s="165">
        <f t="shared" si="11"/>
        <v>504704.91111111111</v>
      </c>
      <c r="H59" s="147">
        <f t="shared" si="12"/>
        <v>504704.91111111111</v>
      </c>
      <c r="I59" s="160">
        <f t="shared" si="13"/>
        <v>0</v>
      </c>
      <c r="J59" s="160"/>
      <c r="K59" s="330"/>
      <c r="L59" s="162">
        <f t="shared" si="14"/>
        <v>0</v>
      </c>
      <c r="M59" s="330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1329382.734661056</v>
      </c>
      <c r="E60" s="164">
        <f>IF(+I14&lt;F59,I14,D60)</f>
        <v>324791.91111111111</v>
      </c>
      <c r="F60" s="163">
        <f t="shared" si="10"/>
        <v>1004590.8235499449</v>
      </c>
      <c r="G60" s="165">
        <f t="shared" si="11"/>
        <v>460748.91111111111</v>
      </c>
      <c r="H60" s="147">
        <f t="shared" si="12"/>
        <v>460748.91111111111</v>
      </c>
      <c r="I60" s="160">
        <f t="shared" si="13"/>
        <v>0</v>
      </c>
      <c r="J60" s="160"/>
      <c r="K60" s="330"/>
      <c r="L60" s="162">
        <f t="shared" si="14"/>
        <v>0</v>
      </c>
      <c r="M60" s="330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1004590.8235499449</v>
      </c>
      <c r="E61" s="164">
        <f>IF(+I14&lt;F60,I14,D61)</f>
        <v>324791.91111111111</v>
      </c>
      <c r="F61" s="163">
        <f t="shared" si="10"/>
        <v>679798.91243883385</v>
      </c>
      <c r="G61" s="167">
        <f t="shared" si="11"/>
        <v>416792.91111111111</v>
      </c>
      <c r="H61" s="147">
        <f t="shared" si="12"/>
        <v>416792.91111111111</v>
      </c>
      <c r="I61" s="160">
        <f t="shared" si="13"/>
        <v>0</v>
      </c>
      <c r="J61" s="160"/>
      <c r="K61" s="330"/>
      <c r="L61" s="162">
        <f t="shared" si="14"/>
        <v>0</v>
      </c>
      <c r="M61" s="330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679798.91243883385</v>
      </c>
      <c r="E62" s="164">
        <f>IF(+I14&lt;F61,I14,D62)</f>
        <v>324791.91111111111</v>
      </c>
      <c r="F62" s="163">
        <f t="shared" si="10"/>
        <v>355007.00132772274</v>
      </c>
      <c r="G62" s="167">
        <f t="shared" si="11"/>
        <v>372836.91111111111</v>
      </c>
      <c r="H62" s="147">
        <f t="shared" si="12"/>
        <v>372836.91111111111</v>
      </c>
      <c r="I62" s="160">
        <f t="shared" si="13"/>
        <v>0</v>
      </c>
      <c r="J62" s="160"/>
      <c r="K62" s="330"/>
      <c r="L62" s="162">
        <f t="shared" si="14"/>
        <v>0</v>
      </c>
      <c r="M62" s="330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355007.00132772274</v>
      </c>
      <c r="E63" s="164">
        <f>IF(+I14&lt;F62,I14,D63)</f>
        <v>324791.91111111111</v>
      </c>
      <c r="F63" s="163">
        <f t="shared" si="10"/>
        <v>30215.090216611628</v>
      </c>
      <c r="G63" s="167">
        <f t="shared" si="11"/>
        <v>328880.91111111111</v>
      </c>
      <c r="H63" s="147">
        <f t="shared" si="12"/>
        <v>328880.91111111111</v>
      </c>
      <c r="I63" s="160">
        <f t="shared" si="13"/>
        <v>0</v>
      </c>
      <c r="J63" s="160"/>
      <c r="K63" s="330"/>
      <c r="L63" s="162">
        <f t="shared" si="14"/>
        <v>0</v>
      </c>
      <c r="M63" s="330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30215.090216611628</v>
      </c>
      <c r="E64" s="164">
        <f>IF(+I14&lt;F63,I14,D64)</f>
        <v>30215.090216611628</v>
      </c>
      <c r="F64" s="163">
        <f t="shared" si="10"/>
        <v>0</v>
      </c>
      <c r="G64" s="167">
        <f t="shared" si="11"/>
        <v>30215.090216611628</v>
      </c>
      <c r="H64" s="147">
        <f t="shared" si="12"/>
        <v>30215.090216611628</v>
      </c>
      <c r="I64" s="160">
        <f t="shared" si="13"/>
        <v>0</v>
      </c>
      <c r="J64" s="160"/>
      <c r="K64" s="330"/>
      <c r="L64" s="162">
        <f t="shared" si="14"/>
        <v>0</v>
      </c>
      <c r="M64" s="330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7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0"/>
      <c r="L65" s="162">
        <f t="shared" si="14"/>
        <v>0</v>
      </c>
      <c r="M65" s="330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7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0"/>
      <c r="L66" s="162">
        <f t="shared" si="14"/>
        <v>0</v>
      </c>
      <c r="M66" s="330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7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0"/>
      <c r="L67" s="162">
        <f t="shared" si="14"/>
        <v>0</v>
      </c>
      <c r="M67" s="330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7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0"/>
      <c r="L68" s="162">
        <f t="shared" si="14"/>
        <v>0</v>
      </c>
      <c r="M68" s="330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7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0"/>
      <c r="L69" s="162">
        <f t="shared" si="14"/>
        <v>0</v>
      </c>
      <c r="M69" s="330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7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0"/>
      <c r="L70" s="162">
        <f t="shared" si="14"/>
        <v>0</v>
      </c>
      <c r="M70" s="330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7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0"/>
      <c r="L71" s="162">
        <f t="shared" si="14"/>
        <v>0</v>
      </c>
      <c r="M71" s="330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71">
        <f t="shared" si="11"/>
        <v>0</v>
      </c>
      <c r="H72" s="130">
        <f t="shared" si="12"/>
        <v>0</v>
      </c>
      <c r="I72" s="172">
        <f t="shared" si="13"/>
        <v>0</v>
      </c>
      <c r="J72" s="160"/>
      <c r="K72" s="331"/>
      <c r="L72" s="173">
        <f t="shared" si="14"/>
        <v>0</v>
      </c>
      <c r="M72" s="331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77</v>
      </c>
      <c r="D73" s="115"/>
      <c r="E73" s="115">
        <f>SUM(E17:E72)</f>
        <v>14615635.999999994</v>
      </c>
      <c r="F73" s="115"/>
      <c r="G73" s="115">
        <f>SUM(G17:G72)</f>
        <v>61040883.999999955</v>
      </c>
      <c r="H73" s="115">
        <f>SUM(H17:H72)</f>
        <v>61040883.999999955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4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 t="str">
        <f>O4</f>
        <v>WFEC DA Adjustment</v>
      </c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IF(J92&lt;D11,0,VLOOKUP(J92,C17:O72,9))-P87</f>
        <v>1895603.111111111</v>
      </c>
      <c r="N87" s="202">
        <f>IF(J92&lt;D11,0,VLOOKUP(J92,C17:O72,11))-P87</f>
        <v>1895603.111111111</v>
      </c>
      <c r="O87" s="203">
        <f>+N87-M87</f>
        <v>0</v>
      </c>
      <c r="P87" s="109">
        <f>O5</f>
        <v>15688.800000000001</v>
      </c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IF(J92&lt;D11,0,VLOOKUP(J92,C99:P154,6))-P87</f>
        <v>1530505.2</v>
      </c>
      <c r="N88" s="204">
        <f>IF(J92&lt;D11,0,VLOOKUP(J92,C99:P154,7))-P87</f>
        <v>1530505.2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Cache-Snyder to Altus Jct. 138 kV line (w/2 ring bus stations)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-365097.91111111105</v>
      </c>
      <c r="N89" s="207">
        <f>+N88-N87</f>
        <v>-365097.91111111105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TP2004147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f>+D10</f>
        <v>14615636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2008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7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339899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97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268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2008</v>
      </c>
      <c r="D99" s="361">
        <v>0</v>
      </c>
      <c r="E99" s="363">
        <v>114341</v>
      </c>
      <c r="F99" s="366">
        <v>14429811</v>
      </c>
      <c r="G99" s="368">
        <f t="shared" ref="G99:G130" si="17">+(F99+D99)/2</f>
        <v>7214905.5</v>
      </c>
      <c r="H99" s="369">
        <v>1260396</v>
      </c>
      <c r="I99" s="370">
        <v>1260396</v>
      </c>
      <c r="J99" s="162">
        <f t="shared" ref="J99:J131" si="18">+I99-H99</f>
        <v>0</v>
      </c>
      <c r="K99" s="162"/>
      <c r="L99" s="332">
        <v>1260396</v>
      </c>
      <c r="M99" s="161">
        <f t="shared" ref="M99:M130" si="19">IF(L99&lt;&gt;0,+H99-L99,0)</f>
        <v>0</v>
      </c>
      <c r="N99" s="332">
        <f>+L99</f>
        <v>1260396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1">
        <v>14569170</v>
      </c>
      <c r="E100" s="363">
        <v>262206</v>
      </c>
      <c r="F100" s="366">
        <v>14306964</v>
      </c>
      <c r="G100" s="366">
        <v>14438067</v>
      </c>
      <c r="H100" s="363">
        <v>2373171</v>
      </c>
      <c r="I100" s="365">
        <v>2373171</v>
      </c>
      <c r="J100" s="162">
        <f t="shared" si="18"/>
        <v>0</v>
      </c>
      <c r="K100" s="162"/>
      <c r="L100" s="333">
        <f t="shared" ref="L100:L105" si="22">H100</f>
        <v>2373171</v>
      </c>
      <c r="M100" s="162">
        <f t="shared" si="19"/>
        <v>0</v>
      </c>
      <c r="N100" s="333">
        <f t="shared" ref="N100:N105" si="23">I100</f>
        <v>2373171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4">IF(D101=F100,"","IU")</f>
        <v>IU</v>
      </c>
      <c r="C101" s="157">
        <f>IF(D93="","-",+C100+1)</f>
        <v>2010</v>
      </c>
      <c r="D101" s="361">
        <v>14239089</v>
      </c>
      <c r="E101" s="363">
        <v>286581</v>
      </c>
      <c r="F101" s="366">
        <v>13952508</v>
      </c>
      <c r="G101" s="366">
        <v>14095798.5</v>
      </c>
      <c r="H101" s="363">
        <v>2553400</v>
      </c>
      <c r="I101" s="365">
        <v>2553400</v>
      </c>
      <c r="J101" s="162">
        <f t="shared" si="18"/>
        <v>0</v>
      </c>
      <c r="K101" s="162"/>
      <c r="L101" s="375">
        <f t="shared" si="22"/>
        <v>2553400</v>
      </c>
      <c r="M101" s="376">
        <f t="shared" si="19"/>
        <v>0</v>
      </c>
      <c r="N101" s="375">
        <f t="shared" si="23"/>
        <v>2553400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4"/>
        <v/>
      </c>
      <c r="C102" s="157">
        <f>IF(D93="","-",+C101+1)</f>
        <v>2011</v>
      </c>
      <c r="D102" s="361">
        <v>13952508</v>
      </c>
      <c r="E102" s="363">
        <v>281070</v>
      </c>
      <c r="F102" s="366">
        <v>13671438</v>
      </c>
      <c r="G102" s="366">
        <v>13811973</v>
      </c>
      <c r="H102" s="363">
        <v>2212169</v>
      </c>
      <c r="I102" s="365">
        <v>2212169</v>
      </c>
      <c r="J102" s="162">
        <f t="shared" si="18"/>
        <v>0</v>
      </c>
      <c r="K102" s="162"/>
      <c r="L102" s="375">
        <f t="shared" si="22"/>
        <v>2212169</v>
      </c>
      <c r="M102" s="376">
        <f t="shared" si="19"/>
        <v>0</v>
      </c>
      <c r="N102" s="375">
        <f t="shared" si="23"/>
        <v>2212169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4"/>
        <v/>
      </c>
      <c r="C103" s="157">
        <f>IF(D93="","-",+C102+1)</f>
        <v>2012</v>
      </c>
      <c r="D103" s="361">
        <v>13671438</v>
      </c>
      <c r="E103" s="363">
        <v>281070</v>
      </c>
      <c r="F103" s="366">
        <v>13390368</v>
      </c>
      <c r="G103" s="366">
        <v>13530903</v>
      </c>
      <c r="H103" s="363">
        <v>2227565</v>
      </c>
      <c r="I103" s="365">
        <v>2227565</v>
      </c>
      <c r="J103" s="162">
        <v>0</v>
      </c>
      <c r="K103" s="162"/>
      <c r="L103" s="375">
        <f t="shared" si="22"/>
        <v>2227565</v>
      </c>
      <c r="M103" s="376">
        <f t="shared" ref="M103:M108" si="25">IF(L103&lt;&gt;0,+H103-L103,0)</f>
        <v>0</v>
      </c>
      <c r="N103" s="375">
        <f t="shared" si="23"/>
        <v>2227565</v>
      </c>
      <c r="O103" s="162">
        <f t="shared" ref="O103:O108" si="26">IF(N103&lt;&gt;0,+I103-N103,0)</f>
        <v>0</v>
      </c>
      <c r="P103" s="162">
        <f t="shared" ref="P103:P108" si="27">+O103-M103</f>
        <v>0</v>
      </c>
    </row>
    <row r="104" spans="1:16">
      <c r="B104" s="9" t="str">
        <f t="shared" si="24"/>
        <v/>
      </c>
      <c r="C104" s="157">
        <f>IF(D93="","-",+C103+1)</f>
        <v>2013</v>
      </c>
      <c r="D104" s="361">
        <v>13390368</v>
      </c>
      <c r="E104" s="363">
        <v>281070</v>
      </c>
      <c r="F104" s="366">
        <v>13109298</v>
      </c>
      <c r="G104" s="366">
        <v>13249833</v>
      </c>
      <c r="H104" s="363">
        <v>2188246</v>
      </c>
      <c r="I104" s="365">
        <v>2188246</v>
      </c>
      <c r="J104" s="162">
        <v>0</v>
      </c>
      <c r="K104" s="162"/>
      <c r="L104" s="375">
        <f t="shared" si="22"/>
        <v>2188246</v>
      </c>
      <c r="M104" s="376">
        <f t="shared" si="25"/>
        <v>0</v>
      </c>
      <c r="N104" s="375">
        <f t="shared" si="23"/>
        <v>2188246</v>
      </c>
      <c r="O104" s="162">
        <f t="shared" si="26"/>
        <v>0</v>
      </c>
      <c r="P104" s="162">
        <f t="shared" si="27"/>
        <v>0</v>
      </c>
    </row>
    <row r="105" spans="1:16">
      <c r="B105" s="9" t="str">
        <f t="shared" si="24"/>
        <v/>
      </c>
      <c r="C105" s="157">
        <f>IF(D93="","-",+C104+1)</f>
        <v>2014</v>
      </c>
      <c r="D105" s="361">
        <v>13109298</v>
      </c>
      <c r="E105" s="363">
        <v>281070</v>
      </c>
      <c r="F105" s="366">
        <v>12828228</v>
      </c>
      <c r="G105" s="366">
        <v>12968763</v>
      </c>
      <c r="H105" s="363">
        <v>2104425</v>
      </c>
      <c r="I105" s="365">
        <v>2104425</v>
      </c>
      <c r="J105" s="162">
        <v>0</v>
      </c>
      <c r="K105" s="162"/>
      <c r="L105" s="375">
        <f t="shared" si="22"/>
        <v>2104425</v>
      </c>
      <c r="M105" s="376">
        <f t="shared" si="25"/>
        <v>0</v>
      </c>
      <c r="N105" s="375">
        <f t="shared" si="23"/>
        <v>2104425</v>
      </c>
      <c r="O105" s="162">
        <f t="shared" si="26"/>
        <v>0</v>
      </c>
      <c r="P105" s="162">
        <f t="shared" si="27"/>
        <v>0</v>
      </c>
    </row>
    <row r="106" spans="1:16">
      <c r="B106" s="9" t="str">
        <f t="shared" si="24"/>
        <v/>
      </c>
      <c r="C106" s="157">
        <f>IF(D93="","-",+C105+1)</f>
        <v>2015</v>
      </c>
      <c r="D106" s="361">
        <v>12828228</v>
      </c>
      <c r="E106" s="363">
        <v>281070</v>
      </c>
      <c r="F106" s="366">
        <v>12547158</v>
      </c>
      <c r="G106" s="366">
        <v>12687693</v>
      </c>
      <c r="H106" s="363">
        <v>2012204</v>
      </c>
      <c r="I106" s="365">
        <v>2012204</v>
      </c>
      <c r="J106" s="162">
        <f t="shared" si="18"/>
        <v>0</v>
      </c>
      <c r="K106" s="162"/>
      <c r="L106" s="375">
        <f>H106</f>
        <v>2012204</v>
      </c>
      <c r="M106" s="376">
        <f t="shared" si="25"/>
        <v>0</v>
      </c>
      <c r="N106" s="375">
        <f>I106</f>
        <v>2012204</v>
      </c>
      <c r="O106" s="162">
        <f t="shared" si="26"/>
        <v>0</v>
      </c>
      <c r="P106" s="162">
        <f t="shared" si="27"/>
        <v>0</v>
      </c>
    </row>
    <row r="107" spans="1:16">
      <c r="B107" s="9" t="str">
        <f t="shared" si="24"/>
        <v/>
      </c>
      <c r="C107" s="157">
        <f>IF(D93="","-",+C106+1)</f>
        <v>2016</v>
      </c>
      <c r="D107" s="361">
        <v>12547158</v>
      </c>
      <c r="E107" s="363">
        <v>317731</v>
      </c>
      <c r="F107" s="366">
        <v>12229427</v>
      </c>
      <c r="G107" s="366">
        <v>12388292.5</v>
      </c>
      <c r="H107" s="363">
        <v>1914777</v>
      </c>
      <c r="I107" s="365">
        <v>1914777</v>
      </c>
      <c r="J107" s="162">
        <f t="shared" si="18"/>
        <v>0</v>
      </c>
      <c r="K107" s="162"/>
      <c r="L107" s="375">
        <f>H107</f>
        <v>1914777</v>
      </c>
      <c r="M107" s="376">
        <f t="shared" si="25"/>
        <v>0</v>
      </c>
      <c r="N107" s="375">
        <f>I107</f>
        <v>1914777</v>
      </c>
      <c r="O107" s="162">
        <f t="shared" si="26"/>
        <v>0</v>
      </c>
      <c r="P107" s="162">
        <f t="shared" si="27"/>
        <v>0</v>
      </c>
    </row>
    <row r="108" spans="1:16">
      <c r="B108" s="9" t="str">
        <f t="shared" si="24"/>
        <v/>
      </c>
      <c r="C108" s="157">
        <f>IF(D93="","-",+C107+1)</f>
        <v>2017</v>
      </c>
      <c r="D108" s="361">
        <v>12229427</v>
      </c>
      <c r="E108" s="363">
        <v>317731</v>
      </c>
      <c r="F108" s="366">
        <v>11911696</v>
      </c>
      <c r="G108" s="366">
        <v>12070561.5</v>
      </c>
      <c r="H108" s="363">
        <v>1848912</v>
      </c>
      <c r="I108" s="365">
        <v>1848912</v>
      </c>
      <c r="J108" s="162">
        <f t="shared" si="18"/>
        <v>0</v>
      </c>
      <c r="K108" s="162"/>
      <c r="L108" s="375">
        <f>H108</f>
        <v>1848912</v>
      </c>
      <c r="M108" s="376">
        <f t="shared" si="25"/>
        <v>0</v>
      </c>
      <c r="N108" s="375">
        <f>I108</f>
        <v>1848912</v>
      </c>
      <c r="O108" s="162">
        <f t="shared" si="26"/>
        <v>0</v>
      </c>
      <c r="P108" s="162">
        <f t="shared" si="27"/>
        <v>0</v>
      </c>
    </row>
    <row r="109" spans="1:16">
      <c r="B109" s="9" t="str">
        <f t="shared" si="24"/>
        <v/>
      </c>
      <c r="C109" s="157">
        <f>IF(D93="","-",+C108+1)</f>
        <v>2018</v>
      </c>
      <c r="D109" s="158">
        <f>IF(F108+SUM(E$99:E108)=D$92,F108,D$92-SUM(E$99:E108))</f>
        <v>11911696</v>
      </c>
      <c r="E109" s="165">
        <f>IF(+J96&lt;F108,J96,D109)</f>
        <v>339899</v>
      </c>
      <c r="F109" s="163">
        <f t="shared" ref="F109:F130" si="28">+D109-E109</f>
        <v>11571797</v>
      </c>
      <c r="G109" s="163">
        <f t="shared" si="17"/>
        <v>11741746.5</v>
      </c>
      <c r="H109" s="167">
        <f t="shared" ref="H109:H154" si="29">ROUND(J$94*G109,0)+E109</f>
        <v>1546194</v>
      </c>
      <c r="I109" s="312">
        <f t="shared" ref="I109:I154" si="30">ROUND(J$95*G109,0)+E109</f>
        <v>1546194</v>
      </c>
      <c r="J109" s="162">
        <f t="shared" si="18"/>
        <v>0</v>
      </c>
      <c r="K109" s="162"/>
      <c r="L109" s="330"/>
      <c r="M109" s="162">
        <f t="shared" si="19"/>
        <v>0</v>
      </c>
      <c r="N109" s="330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4"/>
        <v/>
      </c>
      <c r="C110" s="157">
        <f>IF(D93="","-",+C109+1)</f>
        <v>2019</v>
      </c>
      <c r="D110" s="158">
        <f>IF(F109+SUM(E$99:E109)=D$92,F109,D$92-SUM(E$99:E109))</f>
        <v>11571797</v>
      </c>
      <c r="E110" s="165">
        <f>IF(+J96&lt;F109,J96,D110)</f>
        <v>339899</v>
      </c>
      <c r="F110" s="163">
        <f t="shared" si="28"/>
        <v>11231898</v>
      </c>
      <c r="G110" s="163">
        <f t="shared" si="17"/>
        <v>11401847.5</v>
      </c>
      <c r="H110" s="167">
        <f t="shared" si="29"/>
        <v>1511274</v>
      </c>
      <c r="I110" s="312">
        <f t="shared" si="30"/>
        <v>1511274</v>
      </c>
      <c r="J110" s="162">
        <f t="shared" si="18"/>
        <v>0</v>
      </c>
      <c r="K110" s="162"/>
      <c r="L110" s="330"/>
      <c r="M110" s="162">
        <f t="shared" si="19"/>
        <v>0</v>
      </c>
      <c r="N110" s="330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4"/>
        <v/>
      </c>
      <c r="C111" s="157">
        <f>IF(D93="","-",+C110+1)</f>
        <v>2020</v>
      </c>
      <c r="D111" s="158">
        <f>IF(F110+SUM(E$99:E110)=D$92,F110,D$92-SUM(E$99:E110))</f>
        <v>11231898</v>
      </c>
      <c r="E111" s="165">
        <f>IF(+J96&lt;F110,J96,D111)</f>
        <v>339899</v>
      </c>
      <c r="F111" s="163">
        <f t="shared" si="28"/>
        <v>10891999</v>
      </c>
      <c r="G111" s="163">
        <f t="shared" si="17"/>
        <v>11061948.5</v>
      </c>
      <c r="H111" s="167">
        <f t="shared" si="29"/>
        <v>1476355</v>
      </c>
      <c r="I111" s="312">
        <f t="shared" si="30"/>
        <v>1476355</v>
      </c>
      <c r="J111" s="162">
        <f t="shared" si="18"/>
        <v>0</v>
      </c>
      <c r="K111" s="162"/>
      <c r="L111" s="330"/>
      <c r="M111" s="162">
        <f t="shared" si="19"/>
        <v>0</v>
      </c>
      <c r="N111" s="330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4"/>
        <v/>
      </c>
      <c r="C112" s="157">
        <f>IF(D93="","-",+C111+1)</f>
        <v>2021</v>
      </c>
      <c r="D112" s="158">
        <f>IF(F111+SUM(E$99:E111)=D$92,F111,D$92-SUM(E$99:E111))</f>
        <v>10891999</v>
      </c>
      <c r="E112" s="165">
        <f>IF(+J96&lt;F111,J96,D112)</f>
        <v>339899</v>
      </c>
      <c r="F112" s="163">
        <f t="shared" si="28"/>
        <v>10552100</v>
      </c>
      <c r="G112" s="163">
        <f t="shared" si="17"/>
        <v>10722049.5</v>
      </c>
      <c r="H112" s="167">
        <f t="shared" si="29"/>
        <v>1441435</v>
      </c>
      <c r="I112" s="312">
        <f t="shared" si="30"/>
        <v>1441435</v>
      </c>
      <c r="J112" s="162">
        <f t="shared" si="18"/>
        <v>0</v>
      </c>
      <c r="K112" s="162"/>
      <c r="L112" s="330"/>
      <c r="M112" s="162">
        <f t="shared" si="19"/>
        <v>0</v>
      </c>
      <c r="N112" s="330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4"/>
        <v/>
      </c>
      <c r="C113" s="157">
        <f>IF(D93="","-",+C112+1)</f>
        <v>2022</v>
      </c>
      <c r="D113" s="158">
        <f>IF(F112+SUM(E$99:E112)=D$92,F112,D$92-SUM(E$99:E112))</f>
        <v>10552100</v>
      </c>
      <c r="E113" s="165">
        <f>IF(+J96&lt;F112,J96,D113)</f>
        <v>339899</v>
      </c>
      <c r="F113" s="163">
        <f t="shared" si="28"/>
        <v>10212201</v>
      </c>
      <c r="G113" s="163">
        <f t="shared" si="17"/>
        <v>10382150.5</v>
      </c>
      <c r="H113" s="167">
        <f t="shared" si="29"/>
        <v>1406515</v>
      </c>
      <c r="I113" s="312">
        <f t="shared" si="30"/>
        <v>1406515</v>
      </c>
      <c r="J113" s="162">
        <f t="shared" si="18"/>
        <v>0</v>
      </c>
      <c r="K113" s="162"/>
      <c r="L113" s="330"/>
      <c r="M113" s="162">
        <f t="shared" si="19"/>
        <v>0</v>
      </c>
      <c r="N113" s="330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4"/>
        <v/>
      </c>
      <c r="C114" s="157">
        <f>IF(D93="","-",+C113+1)</f>
        <v>2023</v>
      </c>
      <c r="D114" s="158">
        <f>IF(F113+SUM(E$99:E113)=D$92,F113,D$92-SUM(E$99:E113))</f>
        <v>10212201</v>
      </c>
      <c r="E114" s="165">
        <f>IF(+J96&lt;F113,J96,D114)</f>
        <v>339899</v>
      </c>
      <c r="F114" s="163">
        <f t="shared" si="28"/>
        <v>9872302</v>
      </c>
      <c r="G114" s="163">
        <f t="shared" si="17"/>
        <v>10042251.5</v>
      </c>
      <c r="H114" s="167">
        <f t="shared" si="29"/>
        <v>1371595</v>
      </c>
      <c r="I114" s="312">
        <f t="shared" si="30"/>
        <v>1371595</v>
      </c>
      <c r="J114" s="162">
        <f t="shared" si="18"/>
        <v>0</v>
      </c>
      <c r="K114" s="162"/>
      <c r="L114" s="330"/>
      <c r="M114" s="162">
        <f t="shared" si="19"/>
        <v>0</v>
      </c>
      <c r="N114" s="330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4"/>
        <v/>
      </c>
      <c r="C115" s="157">
        <f>IF(D93="","-",+C114+1)</f>
        <v>2024</v>
      </c>
      <c r="D115" s="158">
        <f>IF(F114+SUM(E$99:E114)=D$92,F114,D$92-SUM(E$99:E114))</f>
        <v>9872302</v>
      </c>
      <c r="E115" s="165">
        <f>IF(+J96&lt;F114,J96,D115)</f>
        <v>339899</v>
      </c>
      <c r="F115" s="163">
        <f t="shared" si="28"/>
        <v>9532403</v>
      </c>
      <c r="G115" s="163">
        <f t="shared" si="17"/>
        <v>9702352.5</v>
      </c>
      <c r="H115" s="167">
        <f t="shared" si="29"/>
        <v>1336676</v>
      </c>
      <c r="I115" s="312">
        <f t="shared" si="30"/>
        <v>1336676</v>
      </c>
      <c r="J115" s="162">
        <f t="shared" si="18"/>
        <v>0</v>
      </c>
      <c r="K115" s="162"/>
      <c r="L115" s="330"/>
      <c r="M115" s="162">
        <f t="shared" si="19"/>
        <v>0</v>
      </c>
      <c r="N115" s="330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4"/>
        <v/>
      </c>
      <c r="C116" s="157">
        <f>IF(D93="","-",+C115+1)</f>
        <v>2025</v>
      </c>
      <c r="D116" s="158">
        <f>IF(F115+SUM(E$99:E115)=D$92,F115,D$92-SUM(E$99:E115))</f>
        <v>9532403</v>
      </c>
      <c r="E116" s="165">
        <f>IF(+J96&lt;F115,J96,D116)</f>
        <v>339899</v>
      </c>
      <c r="F116" s="163">
        <f t="shared" si="28"/>
        <v>9192504</v>
      </c>
      <c r="G116" s="163">
        <f t="shared" si="17"/>
        <v>9362453.5</v>
      </c>
      <c r="H116" s="167">
        <f t="shared" si="29"/>
        <v>1301756</v>
      </c>
      <c r="I116" s="312">
        <f t="shared" si="30"/>
        <v>1301756</v>
      </c>
      <c r="J116" s="162">
        <f t="shared" si="18"/>
        <v>0</v>
      </c>
      <c r="K116" s="162"/>
      <c r="L116" s="330"/>
      <c r="M116" s="162">
        <f t="shared" si="19"/>
        <v>0</v>
      </c>
      <c r="N116" s="330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4"/>
        <v/>
      </c>
      <c r="C117" s="157">
        <f>IF(D93="","-",+C116+1)</f>
        <v>2026</v>
      </c>
      <c r="D117" s="158">
        <f>IF(F116+SUM(E$99:E116)=D$92,F116,D$92-SUM(E$99:E116))</f>
        <v>9192504</v>
      </c>
      <c r="E117" s="165">
        <f>IF(+J96&lt;F116,J96,D117)</f>
        <v>339899</v>
      </c>
      <c r="F117" s="163">
        <f t="shared" si="28"/>
        <v>8852605</v>
      </c>
      <c r="G117" s="163">
        <f t="shared" si="17"/>
        <v>9022554.5</v>
      </c>
      <c r="H117" s="167">
        <f t="shared" si="29"/>
        <v>1266836</v>
      </c>
      <c r="I117" s="312">
        <f t="shared" si="30"/>
        <v>1266836</v>
      </c>
      <c r="J117" s="162">
        <f t="shared" si="18"/>
        <v>0</v>
      </c>
      <c r="K117" s="162"/>
      <c r="L117" s="330"/>
      <c r="M117" s="162">
        <f t="shared" si="19"/>
        <v>0</v>
      </c>
      <c r="N117" s="330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4"/>
        <v/>
      </c>
      <c r="C118" s="157">
        <f>IF(D93="","-",+C117+1)</f>
        <v>2027</v>
      </c>
      <c r="D118" s="158">
        <f>IF(F117+SUM(E$99:E117)=D$92,F117,D$92-SUM(E$99:E117))</f>
        <v>8852605</v>
      </c>
      <c r="E118" s="165">
        <f>IF(+J96&lt;F117,J96,D118)</f>
        <v>339899</v>
      </c>
      <c r="F118" s="163">
        <f t="shared" si="28"/>
        <v>8512706</v>
      </c>
      <c r="G118" s="163">
        <f t="shared" si="17"/>
        <v>8682655.5</v>
      </c>
      <c r="H118" s="167">
        <f t="shared" si="29"/>
        <v>1231917</v>
      </c>
      <c r="I118" s="312">
        <f t="shared" si="30"/>
        <v>1231917</v>
      </c>
      <c r="J118" s="162">
        <f t="shared" si="18"/>
        <v>0</v>
      </c>
      <c r="K118" s="162"/>
      <c r="L118" s="330"/>
      <c r="M118" s="162">
        <f t="shared" si="19"/>
        <v>0</v>
      </c>
      <c r="N118" s="330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4"/>
        <v/>
      </c>
      <c r="C119" s="157">
        <f>IF(D93="","-",+C118+1)</f>
        <v>2028</v>
      </c>
      <c r="D119" s="158">
        <f>IF(F118+SUM(E$99:E118)=D$92,F118,D$92-SUM(E$99:E118))</f>
        <v>8512706</v>
      </c>
      <c r="E119" s="165">
        <f>IF(+J96&lt;F118,J96,D119)</f>
        <v>339899</v>
      </c>
      <c r="F119" s="163">
        <f t="shared" si="28"/>
        <v>8172807</v>
      </c>
      <c r="G119" s="163">
        <f t="shared" si="17"/>
        <v>8342756.5</v>
      </c>
      <c r="H119" s="167">
        <f t="shared" si="29"/>
        <v>1196997</v>
      </c>
      <c r="I119" s="312">
        <f t="shared" si="30"/>
        <v>1196997</v>
      </c>
      <c r="J119" s="162">
        <f t="shared" si="18"/>
        <v>0</v>
      </c>
      <c r="K119" s="162"/>
      <c r="L119" s="330"/>
      <c r="M119" s="162">
        <f t="shared" si="19"/>
        <v>0</v>
      </c>
      <c r="N119" s="330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4"/>
        <v/>
      </c>
      <c r="C120" s="157">
        <f>IF(D93="","-",+C119+1)</f>
        <v>2029</v>
      </c>
      <c r="D120" s="158">
        <f>IF(F119+SUM(E$99:E119)=D$92,F119,D$92-SUM(E$99:E119))</f>
        <v>8172807</v>
      </c>
      <c r="E120" s="165">
        <f>IF(+J96&lt;F119,J96,D120)</f>
        <v>339899</v>
      </c>
      <c r="F120" s="163">
        <f t="shared" si="28"/>
        <v>7832908</v>
      </c>
      <c r="G120" s="163">
        <f t="shared" si="17"/>
        <v>8002857.5</v>
      </c>
      <c r="H120" s="167">
        <f t="shared" si="29"/>
        <v>1162077</v>
      </c>
      <c r="I120" s="312">
        <f t="shared" si="30"/>
        <v>1162077</v>
      </c>
      <c r="J120" s="162">
        <f t="shared" si="18"/>
        <v>0</v>
      </c>
      <c r="K120" s="162"/>
      <c r="L120" s="330"/>
      <c r="M120" s="162">
        <f t="shared" si="19"/>
        <v>0</v>
      </c>
      <c r="N120" s="330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4"/>
        <v/>
      </c>
      <c r="C121" s="157">
        <f>IF(D93="","-",+C120+1)</f>
        <v>2030</v>
      </c>
      <c r="D121" s="158">
        <f>IF(F120+SUM(E$99:E120)=D$92,F120,D$92-SUM(E$99:E120))</f>
        <v>7832908</v>
      </c>
      <c r="E121" s="165">
        <f>IF(+J96&lt;F120,J96,D121)</f>
        <v>339899</v>
      </c>
      <c r="F121" s="163">
        <f t="shared" si="28"/>
        <v>7493009</v>
      </c>
      <c r="G121" s="163">
        <f t="shared" si="17"/>
        <v>7662958.5</v>
      </c>
      <c r="H121" s="167">
        <f t="shared" si="29"/>
        <v>1127157</v>
      </c>
      <c r="I121" s="312">
        <f t="shared" si="30"/>
        <v>1127157</v>
      </c>
      <c r="J121" s="162">
        <f t="shared" si="18"/>
        <v>0</v>
      </c>
      <c r="K121" s="162"/>
      <c r="L121" s="330"/>
      <c r="M121" s="162">
        <f t="shared" si="19"/>
        <v>0</v>
      </c>
      <c r="N121" s="330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4"/>
        <v/>
      </c>
      <c r="C122" s="157">
        <f>IF(D93="","-",+C121+1)</f>
        <v>2031</v>
      </c>
      <c r="D122" s="158">
        <f>IF(F121+SUM(E$99:E121)=D$92,F121,D$92-SUM(E$99:E121))</f>
        <v>7493009</v>
      </c>
      <c r="E122" s="165">
        <f>IF(+J96&lt;F121,J96,D122)</f>
        <v>339899</v>
      </c>
      <c r="F122" s="163">
        <f t="shared" si="28"/>
        <v>7153110</v>
      </c>
      <c r="G122" s="163">
        <f t="shared" si="17"/>
        <v>7323059.5</v>
      </c>
      <c r="H122" s="167">
        <f t="shared" si="29"/>
        <v>1092238</v>
      </c>
      <c r="I122" s="312">
        <f t="shared" si="30"/>
        <v>1092238</v>
      </c>
      <c r="J122" s="162">
        <f t="shared" si="18"/>
        <v>0</v>
      </c>
      <c r="K122" s="162"/>
      <c r="L122" s="330"/>
      <c r="M122" s="162">
        <f t="shared" si="19"/>
        <v>0</v>
      </c>
      <c r="N122" s="330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4"/>
        <v/>
      </c>
      <c r="C123" s="157">
        <f>IF(D93="","-",+C122+1)</f>
        <v>2032</v>
      </c>
      <c r="D123" s="158">
        <f>IF(F122+SUM(E$99:E122)=D$92,F122,D$92-SUM(E$99:E122))</f>
        <v>7153110</v>
      </c>
      <c r="E123" s="165">
        <f>IF(+J96&lt;F122,J96,D123)</f>
        <v>339899</v>
      </c>
      <c r="F123" s="163">
        <f t="shared" si="28"/>
        <v>6813211</v>
      </c>
      <c r="G123" s="163">
        <f t="shared" si="17"/>
        <v>6983160.5</v>
      </c>
      <c r="H123" s="167">
        <f t="shared" si="29"/>
        <v>1057318</v>
      </c>
      <c r="I123" s="312">
        <f t="shared" si="30"/>
        <v>1057318</v>
      </c>
      <c r="J123" s="162">
        <f t="shared" si="18"/>
        <v>0</v>
      </c>
      <c r="K123" s="162"/>
      <c r="L123" s="330"/>
      <c r="M123" s="162">
        <f t="shared" si="19"/>
        <v>0</v>
      </c>
      <c r="N123" s="330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4"/>
        <v/>
      </c>
      <c r="C124" s="157">
        <f>IF(D93="","-",+C123+1)</f>
        <v>2033</v>
      </c>
      <c r="D124" s="158">
        <f>IF(F123+SUM(E$99:E123)=D$92,F123,D$92-SUM(E$99:E123))</f>
        <v>6813211</v>
      </c>
      <c r="E124" s="165">
        <f>IF(+J96&lt;F123,J96,D124)</f>
        <v>339899</v>
      </c>
      <c r="F124" s="163">
        <f t="shared" si="28"/>
        <v>6473312</v>
      </c>
      <c r="G124" s="163">
        <f t="shared" si="17"/>
        <v>6643261.5</v>
      </c>
      <c r="H124" s="167">
        <f t="shared" si="29"/>
        <v>1022398</v>
      </c>
      <c r="I124" s="312">
        <f t="shared" si="30"/>
        <v>1022398</v>
      </c>
      <c r="J124" s="162">
        <f t="shared" si="18"/>
        <v>0</v>
      </c>
      <c r="K124" s="162"/>
      <c r="L124" s="330"/>
      <c r="M124" s="162">
        <f t="shared" si="19"/>
        <v>0</v>
      </c>
      <c r="N124" s="330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4"/>
        <v/>
      </c>
      <c r="C125" s="157">
        <f>IF(D93="","-",+C124+1)</f>
        <v>2034</v>
      </c>
      <c r="D125" s="158">
        <f>IF(F124+SUM(E$99:E124)=D$92,F124,D$92-SUM(E$99:E124))</f>
        <v>6473312</v>
      </c>
      <c r="E125" s="165">
        <f>IF(+J96&lt;F124,J96,D125)</f>
        <v>339899</v>
      </c>
      <c r="F125" s="163">
        <f t="shared" si="28"/>
        <v>6133413</v>
      </c>
      <c r="G125" s="163">
        <f t="shared" si="17"/>
        <v>6303362.5</v>
      </c>
      <c r="H125" s="167">
        <f t="shared" si="29"/>
        <v>987479</v>
      </c>
      <c r="I125" s="312">
        <f t="shared" si="30"/>
        <v>987479</v>
      </c>
      <c r="J125" s="162">
        <f t="shared" si="18"/>
        <v>0</v>
      </c>
      <c r="K125" s="162"/>
      <c r="L125" s="330"/>
      <c r="M125" s="162">
        <f t="shared" si="19"/>
        <v>0</v>
      </c>
      <c r="N125" s="330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4"/>
        <v/>
      </c>
      <c r="C126" s="157">
        <f>IF(D93="","-",+C125+1)</f>
        <v>2035</v>
      </c>
      <c r="D126" s="158">
        <f>IF(F125+SUM(E$99:E125)=D$92,F125,D$92-SUM(E$99:E125))</f>
        <v>6133413</v>
      </c>
      <c r="E126" s="165">
        <f>IF(+J96&lt;F125,J96,D126)</f>
        <v>339899</v>
      </c>
      <c r="F126" s="163">
        <f t="shared" si="28"/>
        <v>5793514</v>
      </c>
      <c r="G126" s="163">
        <f t="shared" si="17"/>
        <v>5963463.5</v>
      </c>
      <c r="H126" s="167">
        <f t="shared" si="29"/>
        <v>952559</v>
      </c>
      <c r="I126" s="312">
        <f t="shared" si="30"/>
        <v>952559</v>
      </c>
      <c r="J126" s="162">
        <f t="shared" si="18"/>
        <v>0</v>
      </c>
      <c r="K126" s="162"/>
      <c r="L126" s="330"/>
      <c r="M126" s="162">
        <f t="shared" si="19"/>
        <v>0</v>
      </c>
      <c r="N126" s="330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4"/>
        <v/>
      </c>
      <c r="C127" s="157">
        <f>IF(D93="","-",+C126+1)</f>
        <v>2036</v>
      </c>
      <c r="D127" s="158">
        <f>IF(F126+SUM(E$99:E126)=D$92,F126,D$92-SUM(E$99:E126))</f>
        <v>5793514</v>
      </c>
      <c r="E127" s="165">
        <f>IF(+J96&lt;F126,J96,D127)</f>
        <v>339899</v>
      </c>
      <c r="F127" s="163">
        <f t="shared" si="28"/>
        <v>5453615</v>
      </c>
      <c r="G127" s="163">
        <f t="shared" si="17"/>
        <v>5623564.5</v>
      </c>
      <c r="H127" s="167">
        <f t="shared" si="29"/>
        <v>917639</v>
      </c>
      <c r="I127" s="312">
        <f t="shared" si="30"/>
        <v>917639</v>
      </c>
      <c r="J127" s="162">
        <f t="shared" si="18"/>
        <v>0</v>
      </c>
      <c r="K127" s="162"/>
      <c r="L127" s="330"/>
      <c r="M127" s="162">
        <f t="shared" si="19"/>
        <v>0</v>
      </c>
      <c r="N127" s="330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4"/>
        <v/>
      </c>
      <c r="C128" s="157">
        <f>IF(D93="","-",+C127+1)</f>
        <v>2037</v>
      </c>
      <c r="D128" s="158">
        <f>IF(F127+SUM(E$99:E127)=D$92,F127,D$92-SUM(E$99:E127))</f>
        <v>5453615</v>
      </c>
      <c r="E128" s="165">
        <f>IF(+J96&lt;F127,J96,D128)</f>
        <v>339899</v>
      </c>
      <c r="F128" s="163">
        <f t="shared" si="28"/>
        <v>5113716</v>
      </c>
      <c r="G128" s="163">
        <f t="shared" si="17"/>
        <v>5283665.5</v>
      </c>
      <c r="H128" s="167">
        <f t="shared" si="29"/>
        <v>882719</v>
      </c>
      <c r="I128" s="312">
        <f t="shared" si="30"/>
        <v>882719</v>
      </c>
      <c r="J128" s="162">
        <f t="shared" si="18"/>
        <v>0</v>
      </c>
      <c r="K128" s="162"/>
      <c r="L128" s="330"/>
      <c r="M128" s="162">
        <f t="shared" si="19"/>
        <v>0</v>
      </c>
      <c r="N128" s="330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4"/>
        <v/>
      </c>
      <c r="C129" s="157">
        <f>IF(D93="","-",+C128+1)</f>
        <v>2038</v>
      </c>
      <c r="D129" s="158">
        <f>IF(F128+SUM(E$99:E128)=D$92,F128,D$92-SUM(E$99:E128))</f>
        <v>5113716</v>
      </c>
      <c r="E129" s="165">
        <f>IF(+J96&lt;F128,J96,D129)</f>
        <v>339899</v>
      </c>
      <c r="F129" s="163">
        <f t="shared" si="28"/>
        <v>4773817</v>
      </c>
      <c r="G129" s="163">
        <f t="shared" si="17"/>
        <v>4943766.5</v>
      </c>
      <c r="H129" s="167">
        <f t="shared" si="29"/>
        <v>847800</v>
      </c>
      <c r="I129" s="312">
        <f t="shared" si="30"/>
        <v>847800</v>
      </c>
      <c r="J129" s="162">
        <f t="shared" si="18"/>
        <v>0</v>
      </c>
      <c r="K129" s="162"/>
      <c r="L129" s="330"/>
      <c r="M129" s="162">
        <f t="shared" si="19"/>
        <v>0</v>
      </c>
      <c r="N129" s="330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4"/>
        <v/>
      </c>
      <c r="C130" s="157">
        <f>IF(D93="","-",+C129+1)</f>
        <v>2039</v>
      </c>
      <c r="D130" s="158">
        <f>IF(F129+SUM(E$99:E129)=D$92,F129,D$92-SUM(E$99:E129))</f>
        <v>4773817</v>
      </c>
      <c r="E130" s="165">
        <f>IF(+J96&lt;F129,J96,D130)</f>
        <v>339899</v>
      </c>
      <c r="F130" s="163">
        <f t="shared" si="28"/>
        <v>4433918</v>
      </c>
      <c r="G130" s="163">
        <f t="shared" si="17"/>
        <v>4603867.5</v>
      </c>
      <c r="H130" s="167">
        <f t="shared" si="29"/>
        <v>812880</v>
      </c>
      <c r="I130" s="312">
        <f t="shared" si="30"/>
        <v>812880</v>
      </c>
      <c r="J130" s="162">
        <f t="shared" si="18"/>
        <v>0</v>
      </c>
      <c r="K130" s="162"/>
      <c r="L130" s="330"/>
      <c r="M130" s="162">
        <f t="shared" si="19"/>
        <v>0</v>
      </c>
      <c r="N130" s="330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4"/>
        <v/>
      </c>
      <c r="C131" s="157">
        <f>IF(D93="","-",+C130+1)</f>
        <v>2040</v>
      </c>
      <c r="D131" s="158">
        <f>IF(F130+SUM(E$99:E130)=D$92,F130,D$92-SUM(E$99:E130))</f>
        <v>4433918</v>
      </c>
      <c r="E131" s="165">
        <f>IF(+J96&lt;F130,J96,D131)</f>
        <v>339899</v>
      </c>
      <c r="F131" s="163">
        <f t="shared" ref="F131:F154" si="31">+D131-E131</f>
        <v>4094019</v>
      </c>
      <c r="G131" s="163">
        <f t="shared" ref="G131:G154" si="32">+(F131+D131)/2</f>
        <v>4263968.5</v>
      </c>
      <c r="H131" s="167">
        <f t="shared" si="29"/>
        <v>777960</v>
      </c>
      <c r="I131" s="312">
        <f t="shared" si="30"/>
        <v>777960</v>
      </c>
      <c r="J131" s="162">
        <f t="shared" si="18"/>
        <v>0</v>
      </c>
      <c r="K131" s="162"/>
      <c r="L131" s="330"/>
      <c r="M131" s="162">
        <f t="shared" ref="M131:M154" si="33">IF(L131&lt;&gt;0,+H131-L131,0)</f>
        <v>0</v>
      </c>
      <c r="N131" s="330"/>
      <c r="O131" s="162">
        <f t="shared" ref="O131:O154" si="34">IF(N131&lt;&gt;0,+I131-N131,0)</f>
        <v>0</v>
      </c>
      <c r="P131" s="162">
        <f t="shared" ref="P131:P154" si="35">+O131-M131</f>
        <v>0</v>
      </c>
    </row>
    <row r="132" spans="2:16">
      <c r="B132" s="9" t="str">
        <f t="shared" si="24"/>
        <v/>
      </c>
      <c r="C132" s="157">
        <f>IF(D93="","-",+C131+1)</f>
        <v>2041</v>
      </c>
      <c r="D132" s="158">
        <f>IF(F131+SUM(E$99:E131)=D$92,F131,D$92-SUM(E$99:E131))</f>
        <v>4094019</v>
      </c>
      <c r="E132" s="165">
        <f>IF(+J96&lt;F131,J96,D132)</f>
        <v>339899</v>
      </c>
      <c r="F132" s="163">
        <f t="shared" si="31"/>
        <v>3754120</v>
      </c>
      <c r="G132" s="163">
        <f t="shared" si="32"/>
        <v>3924069.5</v>
      </c>
      <c r="H132" s="167">
        <f t="shared" si="29"/>
        <v>743041</v>
      </c>
      <c r="I132" s="312">
        <f t="shared" si="30"/>
        <v>743041</v>
      </c>
      <c r="J132" s="162">
        <f t="shared" ref="J132:J154" si="36">+I132-H132</f>
        <v>0</v>
      </c>
      <c r="K132" s="162"/>
      <c r="L132" s="330"/>
      <c r="M132" s="162">
        <f t="shared" si="33"/>
        <v>0</v>
      </c>
      <c r="N132" s="330"/>
      <c r="O132" s="162">
        <f t="shared" si="34"/>
        <v>0</v>
      </c>
      <c r="P132" s="162">
        <f t="shared" si="35"/>
        <v>0</v>
      </c>
    </row>
    <row r="133" spans="2:16">
      <c r="B133" s="9" t="str">
        <f t="shared" si="24"/>
        <v/>
      </c>
      <c r="C133" s="157">
        <f>IF(D93="","-",+C132+1)</f>
        <v>2042</v>
      </c>
      <c r="D133" s="158">
        <f>IF(F132+SUM(E$99:E132)=D$92,F132,D$92-SUM(E$99:E132))</f>
        <v>3754120</v>
      </c>
      <c r="E133" s="165">
        <f>IF(+J96&lt;F132,J96,D133)</f>
        <v>339899</v>
      </c>
      <c r="F133" s="163">
        <f t="shared" si="31"/>
        <v>3414221</v>
      </c>
      <c r="G133" s="163">
        <f t="shared" si="32"/>
        <v>3584170.5</v>
      </c>
      <c r="H133" s="167">
        <f t="shared" si="29"/>
        <v>708121</v>
      </c>
      <c r="I133" s="312">
        <f t="shared" si="30"/>
        <v>708121</v>
      </c>
      <c r="J133" s="162">
        <f t="shared" si="36"/>
        <v>0</v>
      </c>
      <c r="K133" s="162"/>
      <c r="L133" s="330"/>
      <c r="M133" s="162">
        <f t="shared" si="33"/>
        <v>0</v>
      </c>
      <c r="N133" s="330"/>
      <c r="O133" s="162">
        <f t="shared" si="34"/>
        <v>0</v>
      </c>
      <c r="P133" s="162">
        <f t="shared" si="35"/>
        <v>0</v>
      </c>
    </row>
    <row r="134" spans="2:16">
      <c r="B134" s="9" t="str">
        <f t="shared" si="24"/>
        <v/>
      </c>
      <c r="C134" s="157">
        <f>IF(D93="","-",+C133+1)</f>
        <v>2043</v>
      </c>
      <c r="D134" s="158">
        <f>IF(F133+SUM(E$99:E133)=D$92,F133,D$92-SUM(E$99:E133))</f>
        <v>3414221</v>
      </c>
      <c r="E134" s="165">
        <f>IF(+J96&lt;F133,J96,D134)</f>
        <v>339899</v>
      </c>
      <c r="F134" s="163">
        <f t="shared" si="31"/>
        <v>3074322</v>
      </c>
      <c r="G134" s="163">
        <f t="shared" si="32"/>
        <v>3244271.5</v>
      </c>
      <c r="H134" s="167">
        <f t="shared" si="29"/>
        <v>673201</v>
      </c>
      <c r="I134" s="312">
        <f t="shared" si="30"/>
        <v>673201</v>
      </c>
      <c r="J134" s="162">
        <f t="shared" si="36"/>
        <v>0</v>
      </c>
      <c r="K134" s="162"/>
      <c r="L134" s="330"/>
      <c r="M134" s="162">
        <f t="shared" si="33"/>
        <v>0</v>
      </c>
      <c r="N134" s="330"/>
      <c r="O134" s="162">
        <f t="shared" si="34"/>
        <v>0</v>
      </c>
      <c r="P134" s="162">
        <f t="shared" si="35"/>
        <v>0</v>
      </c>
    </row>
    <row r="135" spans="2:16">
      <c r="B135" s="9" t="str">
        <f t="shared" si="24"/>
        <v/>
      </c>
      <c r="C135" s="157">
        <f>IF(D93="","-",+C134+1)</f>
        <v>2044</v>
      </c>
      <c r="D135" s="158">
        <f>IF(F134+SUM(E$99:E134)=D$92,F134,D$92-SUM(E$99:E134))</f>
        <v>3074322</v>
      </c>
      <c r="E135" s="165">
        <f>IF(+J96&lt;F134,J96,D135)</f>
        <v>339899</v>
      </c>
      <c r="F135" s="163">
        <f t="shared" si="31"/>
        <v>2734423</v>
      </c>
      <c r="G135" s="163">
        <f t="shared" si="32"/>
        <v>2904372.5</v>
      </c>
      <c r="H135" s="167">
        <f t="shared" si="29"/>
        <v>638281</v>
      </c>
      <c r="I135" s="312">
        <f t="shared" si="30"/>
        <v>638281</v>
      </c>
      <c r="J135" s="162">
        <f t="shared" si="36"/>
        <v>0</v>
      </c>
      <c r="K135" s="162"/>
      <c r="L135" s="330"/>
      <c r="M135" s="162">
        <f t="shared" si="33"/>
        <v>0</v>
      </c>
      <c r="N135" s="330"/>
      <c r="O135" s="162">
        <f t="shared" si="34"/>
        <v>0</v>
      </c>
      <c r="P135" s="162">
        <f t="shared" si="35"/>
        <v>0</v>
      </c>
    </row>
    <row r="136" spans="2:16">
      <c r="B136" s="9" t="str">
        <f t="shared" si="24"/>
        <v/>
      </c>
      <c r="C136" s="157">
        <f>IF(D93="","-",+C135+1)</f>
        <v>2045</v>
      </c>
      <c r="D136" s="158">
        <f>IF(F135+SUM(E$99:E135)=D$92,F135,D$92-SUM(E$99:E135))</f>
        <v>2734423</v>
      </c>
      <c r="E136" s="165">
        <f>IF(+J96&lt;F135,J96,D136)</f>
        <v>339899</v>
      </c>
      <c r="F136" s="163">
        <f t="shared" si="31"/>
        <v>2394524</v>
      </c>
      <c r="G136" s="163">
        <f t="shared" si="32"/>
        <v>2564473.5</v>
      </c>
      <c r="H136" s="167">
        <f t="shared" si="29"/>
        <v>603362</v>
      </c>
      <c r="I136" s="312">
        <f t="shared" si="30"/>
        <v>603362</v>
      </c>
      <c r="J136" s="162">
        <f t="shared" si="36"/>
        <v>0</v>
      </c>
      <c r="K136" s="162"/>
      <c r="L136" s="330"/>
      <c r="M136" s="162">
        <f t="shared" si="33"/>
        <v>0</v>
      </c>
      <c r="N136" s="330"/>
      <c r="O136" s="162">
        <f t="shared" si="34"/>
        <v>0</v>
      </c>
      <c r="P136" s="162">
        <f t="shared" si="35"/>
        <v>0</v>
      </c>
    </row>
    <row r="137" spans="2:16">
      <c r="B137" s="9" t="str">
        <f t="shared" si="24"/>
        <v/>
      </c>
      <c r="C137" s="157">
        <f>IF(D93="","-",+C136+1)</f>
        <v>2046</v>
      </c>
      <c r="D137" s="158">
        <f>IF(F136+SUM(E$99:E136)=D$92,F136,D$92-SUM(E$99:E136))</f>
        <v>2394524</v>
      </c>
      <c r="E137" s="165">
        <f>IF(+J96&lt;F136,J96,D137)</f>
        <v>339899</v>
      </c>
      <c r="F137" s="163">
        <f t="shared" si="31"/>
        <v>2054625</v>
      </c>
      <c r="G137" s="163">
        <f t="shared" si="32"/>
        <v>2224574.5</v>
      </c>
      <c r="H137" s="167">
        <f t="shared" si="29"/>
        <v>568442</v>
      </c>
      <c r="I137" s="312">
        <f t="shared" si="30"/>
        <v>568442</v>
      </c>
      <c r="J137" s="162">
        <f t="shared" si="36"/>
        <v>0</v>
      </c>
      <c r="K137" s="162"/>
      <c r="L137" s="330"/>
      <c r="M137" s="162">
        <f t="shared" si="33"/>
        <v>0</v>
      </c>
      <c r="N137" s="330"/>
      <c r="O137" s="162">
        <f t="shared" si="34"/>
        <v>0</v>
      </c>
      <c r="P137" s="162">
        <f t="shared" si="35"/>
        <v>0</v>
      </c>
    </row>
    <row r="138" spans="2:16">
      <c r="B138" s="9" t="str">
        <f t="shared" si="24"/>
        <v/>
      </c>
      <c r="C138" s="157">
        <f>IF(D93="","-",+C137+1)</f>
        <v>2047</v>
      </c>
      <c r="D138" s="158">
        <f>IF(F137+SUM(E$99:E137)=D$92,F137,D$92-SUM(E$99:E137))</f>
        <v>2054625</v>
      </c>
      <c r="E138" s="165">
        <f>IF(+J96&lt;F137,J96,D138)</f>
        <v>339899</v>
      </c>
      <c r="F138" s="163">
        <f t="shared" si="31"/>
        <v>1714726</v>
      </c>
      <c r="G138" s="163">
        <f t="shared" si="32"/>
        <v>1884675.5</v>
      </c>
      <c r="H138" s="167">
        <f t="shared" si="29"/>
        <v>533522</v>
      </c>
      <c r="I138" s="312">
        <f t="shared" si="30"/>
        <v>533522</v>
      </c>
      <c r="J138" s="162">
        <f t="shared" si="36"/>
        <v>0</v>
      </c>
      <c r="K138" s="162"/>
      <c r="L138" s="330"/>
      <c r="M138" s="162">
        <f t="shared" si="33"/>
        <v>0</v>
      </c>
      <c r="N138" s="330"/>
      <c r="O138" s="162">
        <f t="shared" si="34"/>
        <v>0</v>
      </c>
      <c r="P138" s="162">
        <f t="shared" si="35"/>
        <v>0</v>
      </c>
    </row>
    <row r="139" spans="2:16">
      <c r="B139" s="9" t="str">
        <f t="shared" si="24"/>
        <v/>
      </c>
      <c r="C139" s="157">
        <f>IF(D93="","-",+C138+1)</f>
        <v>2048</v>
      </c>
      <c r="D139" s="158">
        <f>IF(F138+SUM(E$99:E138)=D$92,F138,D$92-SUM(E$99:E138))</f>
        <v>1714726</v>
      </c>
      <c r="E139" s="165">
        <f>IF(+J96&lt;F138,J96,D139)</f>
        <v>339899</v>
      </c>
      <c r="F139" s="163">
        <f t="shared" si="31"/>
        <v>1374827</v>
      </c>
      <c r="G139" s="163">
        <f t="shared" si="32"/>
        <v>1544776.5</v>
      </c>
      <c r="H139" s="167">
        <f t="shared" si="29"/>
        <v>498602</v>
      </c>
      <c r="I139" s="312">
        <f t="shared" si="30"/>
        <v>498602</v>
      </c>
      <c r="J139" s="162">
        <f t="shared" si="36"/>
        <v>0</v>
      </c>
      <c r="K139" s="162"/>
      <c r="L139" s="330"/>
      <c r="M139" s="162">
        <f t="shared" si="33"/>
        <v>0</v>
      </c>
      <c r="N139" s="330"/>
      <c r="O139" s="162">
        <f t="shared" si="34"/>
        <v>0</v>
      </c>
      <c r="P139" s="162">
        <f t="shared" si="35"/>
        <v>0</v>
      </c>
    </row>
    <row r="140" spans="2:16">
      <c r="B140" s="9" t="str">
        <f t="shared" si="24"/>
        <v/>
      </c>
      <c r="C140" s="157">
        <f>IF(D93="","-",+C139+1)</f>
        <v>2049</v>
      </c>
      <c r="D140" s="158">
        <f>IF(F139+SUM(E$99:E139)=D$92,F139,D$92-SUM(E$99:E139))</f>
        <v>1374827</v>
      </c>
      <c r="E140" s="165">
        <f>IF(+J96&lt;F139,J96,D140)</f>
        <v>339899</v>
      </c>
      <c r="F140" s="163">
        <f t="shared" si="31"/>
        <v>1034928</v>
      </c>
      <c r="G140" s="163">
        <f t="shared" si="32"/>
        <v>1204877.5</v>
      </c>
      <c r="H140" s="167">
        <f t="shared" si="29"/>
        <v>463683</v>
      </c>
      <c r="I140" s="312">
        <f t="shared" si="30"/>
        <v>463683</v>
      </c>
      <c r="J140" s="162">
        <f t="shared" si="36"/>
        <v>0</v>
      </c>
      <c r="K140" s="162"/>
      <c r="L140" s="330"/>
      <c r="M140" s="162">
        <f t="shared" si="33"/>
        <v>0</v>
      </c>
      <c r="N140" s="330"/>
      <c r="O140" s="162">
        <f t="shared" si="34"/>
        <v>0</v>
      </c>
      <c r="P140" s="162">
        <f t="shared" si="35"/>
        <v>0</v>
      </c>
    </row>
    <row r="141" spans="2:16">
      <c r="B141" s="9" t="str">
        <f t="shared" si="24"/>
        <v/>
      </c>
      <c r="C141" s="157">
        <f>IF(D93="","-",+C140+1)</f>
        <v>2050</v>
      </c>
      <c r="D141" s="158">
        <f>IF(F140+SUM(E$99:E140)=D$92,F140,D$92-SUM(E$99:E140))</f>
        <v>1034928</v>
      </c>
      <c r="E141" s="165">
        <f>IF(+J96&lt;F140,J96,D141)</f>
        <v>339899</v>
      </c>
      <c r="F141" s="163">
        <f t="shared" si="31"/>
        <v>695029</v>
      </c>
      <c r="G141" s="163">
        <f t="shared" si="32"/>
        <v>864978.5</v>
      </c>
      <c r="H141" s="167">
        <f t="shared" si="29"/>
        <v>428763</v>
      </c>
      <c r="I141" s="312">
        <f t="shared" si="30"/>
        <v>428763</v>
      </c>
      <c r="J141" s="162">
        <f t="shared" si="36"/>
        <v>0</v>
      </c>
      <c r="K141" s="162"/>
      <c r="L141" s="330"/>
      <c r="M141" s="162">
        <f t="shared" si="33"/>
        <v>0</v>
      </c>
      <c r="N141" s="330"/>
      <c r="O141" s="162">
        <f t="shared" si="34"/>
        <v>0</v>
      </c>
      <c r="P141" s="162">
        <f t="shared" si="35"/>
        <v>0</v>
      </c>
    </row>
    <row r="142" spans="2:16">
      <c r="B142" s="9" t="str">
        <f t="shared" si="24"/>
        <v/>
      </c>
      <c r="C142" s="157">
        <f>IF(D93="","-",+C141+1)</f>
        <v>2051</v>
      </c>
      <c r="D142" s="158">
        <f>IF(F141+SUM(E$99:E141)=D$92,F141,D$92-SUM(E$99:E141))</f>
        <v>695029</v>
      </c>
      <c r="E142" s="165">
        <f>IF(+J96&lt;F141,J96,D142)</f>
        <v>339899</v>
      </c>
      <c r="F142" s="163">
        <f t="shared" si="31"/>
        <v>355130</v>
      </c>
      <c r="G142" s="163">
        <f t="shared" si="32"/>
        <v>525079.5</v>
      </c>
      <c r="H142" s="167">
        <f t="shared" si="29"/>
        <v>393843</v>
      </c>
      <c r="I142" s="312">
        <f t="shared" si="30"/>
        <v>393843</v>
      </c>
      <c r="J142" s="162">
        <f t="shared" si="36"/>
        <v>0</v>
      </c>
      <c r="K142" s="162"/>
      <c r="L142" s="330"/>
      <c r="M142" s="162">
        <f t="shared" si="33"/>
        <v>0</v>
      </c>
      <c r="N142" s="330"/>
      <c r="O142" s="162">
        <f t="shared" si="34"/>
        <v>0</v>
      </c>
      <c r="P142" s="162">
        <f t="shared" si="35"/>
        <v>0</v>
      </c>
    </row>
    <row r="143" spans="2:16">
      <c r="B143" s="9" t="str">
        <f t="shared" si="24"/>
        <v/>
      </c>
      <c r="C143" s="157">
        <f>IF(D93="","-",+C142+1)</f>
        <v>2052</v>
      </c>
      <c r="D143" s="158">
        <f>IF(F142+SUM(E$99:E142)=D$92,F142,D$92-SUM(E$99:E142))</f>
        <v>355130</v>
      </c>
      <c r="E143" s="165">
        <f>IF(+J96&lt;F142,J96,D143)</f>
        <v>339899</v>
      </c>
      <c r="F143" s="163">
        <f t="shared" si="31"/>
        <v>15231</v>
      </c>
      <c r="G143" s="163">
        <f t="shared" si="32"/>
        <v>185180.5</v>
      </c>
      <c r="H143" s="167">
        <f t="shared" si="29"/>
        <v>358924</v>
      </c>
      <c r="I143" s="312">
        <f t="shared" si="30"/>
        <v>358924</v>
      </c>
      <c r="J143" s="162">
        <f t="shared" si="36"/>
        <v>0</v>
      </c>
      <c r="K143" s="162"/>
      <c r="L143" s="330"/>
      <c r="M143" s="162">
        <f t="shared" si="33"/>
        <v>0</v>
      </c>
      <c r="N143" s="330"/>
      <c r="O143" s="162">
        <f t="shared" si="34"/>
        <v>0</v>
      </c>
      <c r="P143" s="162">
        <f t="shared" si="35"/>
        <v>0</v>
      </c>
    </row>
    <row r="144" spans="2:16">
      <c r="B144" s="9" t="str">
        <f t="shared" si="24"/>
        <v/>
      </c>
      <c r="C144" s="157">
        <f>IF(D93="","-",+C143+1)</f>
        <v>2053</v>
      </c>
      <c r="D144" s="158">
        <f>IF(F143+SUM(E$99:E143)=D$92,F143,D$92-SUM(E$99:E143))</f>
        <v>15231</v>
      </c>
      <c r="E144" s="165">
        <f>IF(+J96&lt;F143,J96,D144)</f>
        <v>15231</v>
      </c>
      <c r="F144" s="163">
        <f t="shared" si="31"/>
        <v>0</v>
      </c>
      <c r="G144" s="163">
        <f t="shared" si="32"/>
        <v>7615.5</v>
      </c>
      <c r="H144" s="167">
        <f t="shared" si="29"/>
        <v>16013</v>
      </c>
      <c r="I144" s="312">
        <f t="shared" si="30"/>
        <v>16013</v>
      </c>
      <c r="J144" s="162">
        <f t="shared" si="36"/>
        <v>0</v>
      </c>
      <c r="K144" s="162"/>
      <c r="L144" s="330"/>
      <c r="M144" s="162">
        <f t="shared" si="33"/>
        <v>0</v>
      </c>
      <c r="N144" s="330"/>
      <c r="O144" s="162">
        <f t="shared" si="34"/>
        <v>0</v>
      </c>
      <c r="P144" s="162">
        <f t="shared" si="35"/>
        <v>0</v>
      </c>
    </row>
    <row r="145" spans="2:16">
      <c r="B145" s="9" t="str">
        <f t="shared" si="24"/>
        <v/>
      </c>
      <c r="C145" s="157">
        <f>IF(D93="","-",+C144+1)</f>
        <v>2054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1"/>
        <v>0</v>
      </c>
      <c r="G145" s="163">
        <f t="shared" si="32"/>
        <v>0</v>
      </c>
      <c r="H145" s="167">
        <f t="shared" si="29"/>
        <v>0</v>
      </c>
      <c r="I145" s="312">
        <f t="shared" si="30"/>
        <v>0</v>
      </c>
      <c r="J145" s="162">
        <f t="shared" si="36"/>
        <v>0</v>
      </c>
      <c r="K145" s="162"/>
      <c r="L145" s="330"/>
      <c r="M145" s="162">
        <f t="shared" si="33"/>
        <v>0</v>
      </c>
      <c r="N145" s="330"/>
      <c r="O145" s="162">
        <f t="shared" si="34"/>
        <v>0</v>
      </c>
      <c r="P145" s="162">
        <f t="shared" si="35"/>
        <v>0</v>
      </c>
    </row>
    <row r="146" spans="2:16">
      <c r="B146" s="9" t="str">
        <f t="shared" si="24"/>
        <v/>
      </c>
      <c r="C146" s="157">
        <f>IF(D93="","-",+C145+1)</f>
        <v>2055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1"/>
        <v>0</v>
      </c>
      <c r="G146" s="163">
        <f t="shared" si="32"/>
        <v>0</v>
      </c>
      <c r="H146" s="167">
        <f t="shared" si="29"/>
        <v>0</v>
      </c>
      <c r="I146" s="312">
        <f t="shared" si="30"/>
        <v>0</v>
      </c>
      <c r="J146" s="162">
        <f t="shared" si="36"/>
        <v>0</v>
      </c>
      <c r="K146" s="162"/>
      <c r="L146" s="330"/>
      <c r="M146" s="162">
        <f t="shared" si="33"/>
        <v>0</v>
      </c>
      <c r="N146" s="330"/>
      <c r="O146" s="162">
        <f t="shared" si="34"/>
        <v>0</v>
      </c>
      <c r="P146" s="162">
        <f t="shared" si="35"/>
        <v>0</v>
      </c>
    </row>
    <row r="147" spans="2:16">
      <c r="B147" s="9" t="str">
        <f t="shared" si="24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1"/>
        <v>0</v>
      </c>
      <c r="G147" s="163">
        <f t="shared" si="32"/>
        <v>0</v>
      </c>
      <c r="H147" s="167">
        <f t="shared" si="29"/>
        <v>0</v>
      </c>
      <c r="I147" s="312">
        <f t="shared" si="30"/>
        <v>0</v>
      </c>
      <c r="J147" s="162">
        <f t="shared" si="36"/>
        <v>0</v>
      </c>
      <c r="K147" s="162"/>
      <c r="L147" s="330"/>
      <c r="M147" s="162">
        <f t="shared" si="33"/>
        <v>0</v>
      </c>
      <c r="N147" s="330"/>
      <c r="O147" s="162">
        <f t="shared" si="34"/>
        <v>0</v>
      </c>
      <c r="P147" s="162">
        <f t="shared" si="35"/>
        <v>0</v>
      </c>
    </row>
    <row r="148" spans="2:16">
      <c r="B148" s="9" t="str">
        <f t="shared" si="24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1"/>
        <v>0</v>
      </c>
      <c r="G148" s="163">
        <f t="shared" si="32"/>
        <v>0</v>
      </c>
      <c r="H148" s="167">
        <f t="shared" si="29"/>
        <v>0</v>
      </c>
      <c r="I148" s="312">
        <f t="shared" si="30"/>
        <v>0</v>
      </c>
      <c r="J148" s="162">
        <f t="shared" si="36"/>
        <v>0</v>
      </c>
      <c r="K148" s="162"/>
      <c r="L148" s="330"/>
      <c r="M148" s="162">
        <f t="shared" si="33"/>
        <v>0</v>
      </c>
      <c r="N148" s="330"/>
      <c r="O148" s="162">
        <f t="shared" si="34"/>
        <v>0</v>
      </c>
      <c r="P148" s="162">
        <f t="shared" si="35"/>
        <v>0</v>
      </c>
    </row>
    <row r="149" spans="2:16">
      <c r="B149" s="9" t="str">
        <f t="shared" si="24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1"/>
        <v>0</v>
      </c>
      <c r="G149" s="163">
        <f t="shared" si="32"/>
        <v>0</v>
      </c>
      <c r="H149" s="167">
        <f t="shared" si="29"/>
        <v>0</v>
      </c>
      <c r="I149" s="312">
        <f t="shared" si="30"/>
        <v>0</v>
      </c>
      <c r="J149" s="162">
        <f t="shared" si="36"/>
        <v>0</v>
      </c>
      <c r="K149" s="162"/>
      <c r="L149" s="330"/>
      <c r="M149" s="162">
        <f t="shared" si="33"/>
        <v>0</v>
      </c>
      <c r="N149" s="330"/>
      <c r="O149" s="162">
        <f t="shared" si="34"/>
        <v>0</v>
      </c>
      <c r="P149" s="162">
        <f t="shared" si="35"/>
        <v>0</v>
      </c>
    </row>
    <row r="150" spans="2:16">
      <c r="B150" s="9" t="str">
        <f t="shared" si="24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1"/>
        <v>0</v>
      </c>
      <c r="G150" s="163">
        <f t="shared" si="32"/>
        <v>0</v>
      </c>
      <c r="H150" s="167">
        <f t="shared" si="29"/>
        <v>0</v>
      </c>
      <c r="I150" s="312">
        <f t="shared" si="30"/>
        <v>0</v>
      </c>
      <c r="J150" s="162">
        <f t="shared" si="36"/>
        <v>0</v>
      </c>
      <c r="K150" s="162"/>
      <c r="L150" s="330"/>
      <c r="M150" s="162">
        <f t="shared" si="33"/>
        <v>0</v>
      </c>
      <c r="N150" s="330"/>
      <c r="O150" s="162">
        <f t="shared" si="34"/>
        <v>0</v>
      </c>
      <c r="P150" s="162">
        <f t="shared" si="35"/>
        <v>0</v>
      </c>
    </row>
    <row r="151" spans="2:16">
      <c r="B151" s="9" t="str">
        <f t="shared" si="24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1"/>
        <v>0</v>
      </c>
      <c r="G151" s="163">
        <f t="shared" si="32"/>
        <v>0</v>
      </c>
      <c r="H151" s="167">
        <f t="shared" si="29"/>
        <v>0</v>
      </c>
      <c r="I151" s="312">
        <f t="shared" si="30"/>
        <v>0</v>
      </c>
      <c r="J151" s="162">
        <f t="shared" si="36"/>
        <v>0</v>
      </c>
      <c r="K151" s="162"/>
      <c r="L151" s="330"/>
      <c r="M151" s="162">
        <f t="shared" si="33"/>
        <v>0</v>
      </c>
      <c r="N151" s="330"/>
      <c r="O151" s="162">
        <f t="shared" si="34"/>
        <v>0</v>
      </c>
      <c r="P151" s="162">
        <f t="shared" si="35"/>
        <v>0</v>
      </c>
    </row>
    <row r="152" spans="2:16">
      <c r="B152" s="9" t="str">
        <f t="shared" si="24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1"/>
        <v>0</v>
      </c>
      <c r="G152" s="163">
        <f t="shared" si="32"/>
        <v>0</v>
      </c>
      <c r="H152" s="167">
        <f t="shared" si="29"/>
        <v>0</v>
      </c>
      <c r="I152" s="312">
        <f t="shared" si="30"/>
        <v>0</v>
      </c>
      <c r="J152" s="162">
        <f t="shared" si="36"/>
        <v>0</v>
      </c>
      <c r="K152" s="162"/>
      <c r="L152" s="330"/>
      <c r="M152" s="162">
        <f t="shared" si="33"/>
        <v>0</v>
      </c>
      <c r="N152" s="330"/>
      <c r="O152" s="162">
        <f t="shared" si="34"/>
        <v>0</v>
      </c>
      <c r="P152" s="162">
        <f t="shared" si="35"/>
        <v>0</v>
      </c>
    </row>
    <row r="153" spans="2:16">
      <c r="B153" s="9" t="str">
        <f t="shared" si="24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1"/>
        <v>0</v>
      </c>
      <c r="G153" s="163">
        <f t="shared" si="32"/>
        <v>0</v>
      </c>
      <c r="H153" s="167">
        <f t="shared" si="29"/>
        <v>0</v>
      </c>
      <c r="I153" s="312">
        <f t="shared" si="30"/>
        <v>0</v>
      </c>
      <c r="J153" s="162">
        <f t="shared" si="36"/>
        <v>0</v>
      </c>
      <c r="K153" s="162"/>
      <c r="L153" s="330"/>
      <c r="M153" s="162">
        <f t="shared" si="33"/>
        <v>0</v>
      </c>
      <c r="N153" s="330"/>
      <c r="O153" s="162">
        <f t="shared" si="34"/>
        <v>0</v>
      </c>
      <c r="P153" s="162">
        <f t="shared" si="35"/>
        <v>0</v>
      </c>
    </row>
    <row r="154" spans="2:16" ht="13.5" thickBot="1">
      <c r="B154" s="9" t="str">
        <f t="shared" si="24"/>
        <v/>
      </c>
      <c r="C154" s="168">
        <f>IF(D93="","-",+C153+1)</f>
        <v>2063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31"/>
        <v>0</v>
      </c>
      <c r="G154" s="169">
        <f t="shared" si="32"/>
        <v>0</v>
      </c>
      <c r="H154" s="171">
        <f t="shared" si="29"/>
        <v>0</v>
      </c>
      <c r="I154" s="313">
        <f t="shared" si="30"/>
        <v>0</v>
      </c>
      <c r="J154" s="173">
        <f t="shared" si="36"/>
        <v>0</v>
      </c>
      <c r="K154" s="162"/>
      <c r="L154" s="331"/>
      <c r="M154" s="173">
        <f t="shared" si="33"/>
        <v>0</v>
      </c>
      <c r="N154" s="331"/>
      <c r="O154" s="173">
        <f t="shared" si="34"/>
        <v>0</v>
      </c>
      <c r="P154" s="173">
        <f t="shared" si="35"/>
        <v>0</v>
      </c>
    </row>
    <row r="155" spans="2:16">
      <c r="C155" s="158" t="s">
        <v>77</v>
      </c>
      <c r="D155" s="115"/>
      <c r="E155" s="115">
        <f>SUM(E99:E154)</f>
        <v>14615636</v>
      </c>
      <c r="F155" s="115"/>
      <c r="G155" s="115"/>
      <c r="H155" s="115">
        <f>SUM(H99:H154)</f>
        <v>54050837</v>
      </c>
      <c r="I155" s="115">
        <f>SUM(I99:I154)</f>
        <v>54050837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100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107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78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79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view="pageBreakPreview" zoomScale="75" zoomScaleNormal="100" workbookViewId="0">
      <selection activeCell="D29" sqref="D29:H2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5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48199.620253747162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48199.620253747162</v>
      </c>
      <c r="O6" s="1"/>
      <c r="P6" s="1"/>
    </row>
    <row r="7" spans="1:16" ht="13.5" thickBot="1">
      <c r="C7" s="127" t="s">
        <v>46</v>
      </c>
      <c r="D7" s="338" t="s">
        <v>206</v>
      </c>
      <c r="E7" s="18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83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f>387742</f>
        <v>387742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2006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5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8616.4888888888891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2006</v>
      </c>
      <c r="D17" s="361">
        <v>387742</v>
      </c>
      <c r="E17" s="362">
        <v>3877</v>
      </c>
      <c r="F17" s="361">
        <v>383865</v>
      </c>
      <c r="G17" s="362">
        <v>0</v>
      </c>
      <c r="H17" s="365">
        <v>0</v>
      </c>
      <c r="I17" s="160">
        <f t="shared" ref="I17:I48" si="0">H17-G17</f>
        <v>0</v>
      </c>
      <c r="J17" s="160"/>
      <c r="K17" s="332">
        <v>0</v>
      </c>
      <c r="L17" s="161">
        <f t="shared" ref="L17:L48" si="1">IF(K17&lt;&gt;0,+G17-K17,0)</f>
        <v>0</v>
      </c>
      <c r="M17" s="332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/>
      <c r="C18" s="157">
        <f>IF(D11="","-",+C17+1)</f>
        <v>2007</v>
      </c>
      <c r="D18" s="366">
        <v>383865</v>
      </c>
      <c r="E18" s="363">
        <v>7755</v>
      </c>
      <c r="F18" s="366">
        <v>376110</v>
      </c>
      <c r="G18" s="366">
        <v>59847</v>
      </c>
      <c r="H18" s="366">
        <v>59847</v>
      </c>
      <c r="I18" s="160">
        <f t="shared" si="0"/>
        <v>0</v>
      </c>
      <c r="J18" s="160"/>
      <c r="K18" s="333">
        <v>59847</v>
      </c>
      <c r="L18" s="162">
        <f t="shared" si="1"/>
        <v>0</v>
      </c>
      <c r="M18" s="333">
        <v>59847</v>
      </c>
      <c r="N18" s="162">
        <f t="shared" si="2"/>
        <v>0</v>
      </c>
      <c r="O18" s="162">
        <f t="shared" si="3"/>
        <v>0</v>
      </c>
      <c r="P18" s="4"/>
    </row>
    <row r="19" spans="2:16">
      <c r="B19" s="9"/>
      <c r="C19" s="157">
        <f>IF(D11="","-",+C18+1)</f>
        <v>2008</v>
      </c>
      <c r="D19" s="366">
        <v>376557</v>
      </c>
      <c r="E19" s="367">
        <v>7457</v>
      </c>
      <c r="F19" s="366">
        <v>369100</v>
      </c>
      <c r="G19" s="366">
        <v>62208</v>
      </c>
      <c r="H19" s="366">
        <v>62208</v>
      </c>
      <c r="I19" s="160">
        <f t="shared" si="0"/>
        <v>0</v>
      </c>
      <c r="J19" s="160"/>
      <c r="K19" s="333">
        <v>62208</v>
      </c>
      <c r="L19" s="162">
        <f t="shared" si="1"/>
        <v>0</v>
      </c>
      <c r="M19" s="333">
        <v>62208</v>
      </c>
      <c r="N19" s="162">
        <f t="shared" si="2"/>
        <v>0</v>
      </c>
      <c r="O19" s="162">
        <f t="shared" si="3"/>
        <v>0</v>
      </c>
      <c r="P19" s="4"/>
    </row>
    <row r="20" spans="2:16">
      <c r="B20" s="9"/>
      <c r="C20" s="157">
        <f>IF(D11="","-",+C19+1)</f>
        <v>2009</v>
      </c>
      <c r="D20" s="366">
        <v>368843</v>
      </c>
      <c r="E20" s="367">
        <v>7316</v>
      </c>
      <c r="F20" s="366">
        <v>361527</v>
      </c>
      <c r="G20" s="366">
        <v>62704</v>
      </c>
      <c r="H20" s="366">
        <v>62704</v>
      </c>
      <c r="I20" s="160">
        <f t="shared" si="0"/>
        <v>0</v>
      </c>
      <c r="J20" s="160"/>
      <c r="K20" s="333">
        <v>62704</v>
      </c>
      <c r="L20" s="162">
        <f t="shared" si="1"/>
        <v>0</v>
      </c>
      <c r="M20" s="333">
        <v>62704</v>
      </c>
      <c r="N20" s="162">
        <f t="shared" si="2"/>
        <v>0</v>
      </c>
      <c r="O20" s="162">
        <f t="shared" si="3"/>
        <v>0</v>
      </c>
      <c r="P20" s="4"/>
    </row>
    <row r="21" spans="2:16">
      <c r="B21" s="9"/>
      <c r="C21" s="157">
        <f>IF(D12="","-",+C20+1)</f>
        <v>2010</v>
      </c>
      <c r="D21" s="366">
        <v>361337</v>
      </c>
      <c r="E21" s="363">
        <v>6923.9642857142853</v>
      </c>
      <c r="F21" s="366">
        <v>354413.03571428574</v>
      </c>
      <c r="G21" s="363">
        <v>58064.529944767884</v>
      </c>
      <c r="H21" s="365">
        <v>58064.529944767884</v>
      </c>
      <c r="I21" s="160">
        <f t="shared" si="0"/>
        <v>0</v>
      </c>
      <c r="J21" s="160"/>
      <c r="K21" s="375">
        <f t="shared" ref="K21:K26" si="4">G21</f>
        <v>58064.529944767884</v>
      </c>
      <c r="L21" s="162">
        <f t="shared" si="1"/>
        <v>0</v>
      </c>
      <c r="M21" s="375">
        <f t="shared" ref="M21:M26" si="5">H21</f>
        <v>58064.529944767884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ref="B22:B72" si="6">IF(D22=F21,"","IU")</f>
        <v/>
      </c>
      <c r="C22" s="157">
        <f>IF(D11="","-",+C21+1)</f>
        <v>2011</v>
      </c>
      <c r="D22" s="366">
        <v>354413.03571428574</v>
      </c>
      <c r="E22" s="363">
        <v>7602.7843137254904</v>
      </c>
      <c r="F22" s="366">
        <v>346810.25140056026</v>
      </c>
      <c r="G22" s="363">
        <v>61893.620096156621</v>
      </c>
      <c r="H22" s="365">
        <v>61893.620096156621</v>
      </c>
      <c r="I22" s="160">
        <f t="shared" si="0"/>
        <v>0</v>
      </c>
      <c r="J22" s="160"/>
      <c r="K22" s="333">
        <f t="shared" si="4"/>
        <v>61893.620096156621</v>
      </c>
      <c r="L22" s="269">
        <f t="shared" si="1"/>
        <v>0</v>
      </c>
      <c r="M22" s="333">
        <f t="shared" si="5"/>
        <v>61893.620096156621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6"/>
        <v/>
      </c>
      <c r="C23" s="157">
        <f>IF(D11="","-",+C22+1)</f>
        <v>2012</v>
      </c>
      <c r="D23" s="366">
        <v>346810.25140056026</v>
      </c>
      <c r="E23" s="363">
        <v>7456.5769230769229</v>
      </c>
      <c r="F23" s="366">
        <v>339353.67447748332</v>
      </c>
      <c r="G23" s="363">
        <v>54696.893588724874</v>
      </c>
      <c r="H23" s="365">
        <v>54696.893588724874</v>
      </c>
      <c r="I23" s="160">
        <f t="shared" si="0"/>
        <v>0</v>
      </c>
      <c r="J23" s="160"/>
      <c r="K23" s="333">
        <f t="shared" si="4"/>
        <v>54696.893588724874</v>
      </c>
      <c r="L23" s="269">
        <f t="shared" si="1"/>
        <v>0</v>
      </c>
      <c r="M23" s="333">
        <f t="shared" si="5"/>
        <v>54696.893588724874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6"/>
        <v/>
      </c>
      <c r="C24" s="157">
        <f>IF(D11="","-",+C23+1)</f>
        <v>2013</v>
      </c>
      <c r="D24" s="366">
        <v>339353.67447748332</v>
      </c>
      <c r="E24" s="363">
        <v>7456.5769230769229</v>
      </c>
      <c r="F24" s="366">
        <v>331897.09755440638</v>
      </c>
      <c r="G24" s="363">
        <v>54853.72619811543</v>
      </c>
      <c r="H24" s="365">
        <v>54853.72619811543</v>
      </c>
      <c r="I24" s="160">
        <v>0</v>
      </c>
      <c r="J24" s="160"/>
      <c r="K24" s="333">
        <f t="shared" si="4"/>
        <v>54853.72619811543</v>
      </c>
      <c r="L24" s="269">
        <f t="shared" ref="L24:L29" si="7">IF(K24&lt;&gt;0,+G24-K24,0)</f>
        <v>0</v>
      </c>
      <c r="M24" s="333">
        <f t="shared" si="5"/>
        <v>54853.72619811543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6"/>
        <v/>
      </c>
      <c r="C25" s="157">
        <f>IF(D11="","-",+C24+1)</f>
        <v>2014</v>
      </c>
      <c r="D25" s="366">
        <v>331897.09755440638</v>
      </c>
      <c r="E25" s="363">
        <v>7456.5769230769229</v>
      </c>
      <c r="F25" s="366">
        <v>324440.52063132945</v>
      </c>
      <c r="G25" s="363">
        <v>52118.659182147123</v>
      </c>
      <c r="H25" s="365">
        <v>52118.659182147123</v>
      </c>
      <c r="I25" s="160">
        <v>0</v>
      </c>
      <c r="J25" s="160"/>
      <c r="K25" s="333">
        <f t="shared" si="4"/>
        <v>52118.659182147123</v>
      </c>
      <c r="L25" s="269">
        <f t="shared" si="7"/>
        <v>0</v>
      </c>
      <c r="M25" s="333">
        <f t="shared" si="5"/>
        <v>52118.659182147123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2015</v>
      </c>
      <c r="D26" s="366">
        <v>324440.52063132945</v>
      </c>
      <c r="E26" s="363">
        <v>7456.5769230769229</v>
      </c>
      <c r="F26" s="366">
        <v>316983.94370825251</v>
      </c>
      <c r="G26" s="363">
        <v>51159.678410482353</v>
      </c>
      <c r="H26" s="365">
        <v>51159.678410482353</v>
      </c>
      <c r="I26" s="160">
        <v>0</v>
      </c>
      <c r="J26" s="160"/>
      <c r="K26" s="333">
        <f t="shared" si="4"/>
        <v>51159.678410482353</v>
      </c>
      <c r="L26" s="269">
        <f t="shared" si="7"/>
        <v>0</v>
      </c>
      <c r="M26" s="333">
        <f t="shared" si="5"/>
        <v>51159.678410482353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2016</v>
      </c>
      <c r="D27" s="366">
        <v>316983.94370825251</v>
      </c>
      <c r="E27" s="363">
        <v>7456.5769230769229</v>
      </c>
      <c r="F27" s="366">
        <v>309527.36678517557</v>
      </c>
      <c r="G27" s="363">
        <v>48054.073071867475</v>
      </c>
      <c r="H27" s="365">
        <v>48054.073071867475</v>
      </c>
      <c r="I27" s="160">
        <f t="shared" si="0"/>
        <v>0</v>
      </c>
      <c r="J27" s="160"/>
      <c r="K27" s="333">
        <f>G27</f>
        <v>48054.073071867475</v>
      </c>
      <c r="L27" s="269">
        <f t="shared" si="7"/>
        <v>0</v>
      </c>
      <c r="M27" s="333">
        <f>H27</f>
        <v>48054.073071867475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2017</v>
      </c>
      <c r="D28" s="366">
        <v>309527.36678517557</v>
      </c>
      <c r="E28" s="363">
        <v>8429.173913043478</v>
      </c>
      <c r="F28" s="366">
        <v>301098.19287213212</v>
      </c>
      <c r="G28" s="363">
        <v>46747.12706959022</v>
      </c>
      <c r="H28" s="365">
        <v>46747.12706959022</v>
      </c>
      <c r="I28" s="160">
        <f t="shared" si="0"/>
        <v>0</v>
      </c>
      <c r="J28" s="160"/>
      <c r="K28" s="333">
        <f>G28</f>
        <v>46747.12706959022</v>
      </c>
      <c r="L28" s="269">
        <f t="shared" si="7"/>
        <v>0</v>
      </c>
      <c r="M28" s="333">
        <f>H28</f>
        <v>46747.12706959022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6"/>
        <v/>
      </c>
      <c r="C29" s="157">
        <f>IF(D11="","-",+C28+1)</f>
        <v>2018</v>
      </c>
      <c r="D29" s="366">
        <v>301098.19287213212</v>
      </c>
      <c r="E29" s="363">
        <v>8616.4888888888891</v>
      </c>
      <c r="F29" s="366">
        <v>292481.70398324321</v>
      </c>
      <c r="G29" s="363">
        <v>48199.620253747162</v>
      </c>
      <c r="H29" s="365">
        <v>48199.620253747162</v>
      </c>
      <c r="I29" s="160">
        <f t="shared" si="0"/>
        <v>0</v>
      </c>
      <c r="J29" s="160"/>
      <c r="K29" s="333">
        <f>G29</f>
        <v>48199.620253747162</v>
      </c>
      <c r="L29" s="269">
        <f t="shared" si="7"/>
        <v>0</v>
      </c>
      <c r="M29" s="333">
        <f>H29</f>
        <v>48199.620253747162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6"/>
        <v/>
      </c>
      <c r="C30" s="157">
        <f>IF(D11="","-",+C29+1)</f>
        <v>2019</v>
      </c>
      <c r="D30" s="163">
        <f>IF(F29+SUM(E$17:E29)=D$10,F29,D$10-SUM(E$17:E29))</f>
        <v>292481.70398324321</v>
      </c>
      <c r="E30" s="164">
        <f>IF(+I14&lt;F29,I14,D30)</f>
        <v>8616.4888888888891</v>
      </c>
      <c r="F30" s="163">
        <f t="shared" ref="F30:F72" si="10">+D30-E30</f>
        <v>283865.21509435429</v>
      </c>
      <c r="G30" s="165">
        <f t="shared" ref="G30:G72" si="11">+I$12*F30+E30</f>
        <v>47033.504196066257</v>
      </c>
      <c r="H30" s="147">
        <f t="shared" ref="H30:H72" si="12">+I$13*F30+E30</f>
        <v>47033.504196066257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2020</v>
      </c>
      <c r="D31" s="163">
        <f>IF(F30+SUM(E$17:E30)=D$10,F30,D$10-SUM(E$17:E30))</f>
        <v>283865.21509435429</v>
      </c>
      <c r="E31" s="164">
        <f>IF(+I14&lt;F30,I14,D31)</f>
        <v>8616.4888888888891</v>
      </c>
      <c r="F31" s="163">
        <f t="shared" si="10"/>
        <v>275248.72620546538</v>
      </c>
      <c r="G31" s="165">
        <f t="shared" si="11"/>
        <v>45867.388138385359</v>
      </c>
      <c r="H31" s="147">
        <f t="shared" si="12"/>
        <v>45867.388138385359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2021</v>
      </c>
      <c r="D32" s="163">
        <f>IF(F31+SUM(E$17:E31)=D$10,F31,D$10-SUM(E$17:E31))</f>
        <v>275248.72620546538</v>
      </c>
      <c r="E32" s="164">
        <f>IF(+I14&lt;F31,I14,D32)</f>
        <v>8616.4888888888891</v>
      </c>
      <c r="F32" s="163">
        <f t="shared" si="10"/>
        <v>266632.23731657647</v>
      </c>
      <c r="G32" s="165">
        <f t="shared" si="11"/>
        <v>44701.272080704461</v>
      </c>
      <c r="H32" s="147">
        <f t="shared" si="12"/>
        <v>44701.272080704461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2022</v>
      </c>
      <c r="D33" s="163">
        <f>IF(F32+SUM(E$17:E32)=D$10,F32,D$10-SUM(E$17:E32))</f>
        <v>266632.23731657647</v>
      </c>
      <c r="E33" s="164">
        <f>IF(+I14&lt;F32,I14,D33)</f>
        <v>8616.4888888888891</v>
      </c>
      <c r="F33" s="163">
        <f t="shared" si="10"/>
        <v>258015.74842768759</v>
      </c>
      <c r="G33" s="165">
        <f t="shared" si="11"/>
        <v>43535.156023023563</v>
      </c>
      <c r="H33" s="147">
        <f t="shared" si="12"/>
        <v>43535.156023023563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2023</v>
      </c>
      <c r="D34" s="163">
        <f>IF(F33+SUM(E$17:E33)=D$10,F33,D$10-SUM(E$17:E33))</f>
        <v>258015.74842768759</v>
      </c>
      <c r="E34" s="164">
        <f>IF(+I14&lt;F33,I14,D34)</f>
        <v>8616.4888888888891</v>
      </c>
      <c r="F34" s="163">
        <f t="shared" si="10"/>
        <v>249399.25953879871</v>
      </c>
      <c r="G34" s="165">
        <f t="shared" si="11"/>
        <v>42369.039965342672</v>
      </c>
      <c r="H34" s="147">
        <f t="shared" si="12"/>
        <v>42369.039965342672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2024</v>
      </c>
      <c r="D35" s="163">
        <f>IF(F34+SUM(E$17:E34)=D$10,F34,D$10-SUM(E$17:E34))</f>
        <v>249399.25953879871</v>
      </c>
      <c r="E35" s="164">
        <f>IF(+I14&lt;F34,I14,D35)</f>
        <v>8616.4888888888891</v>
      </c>
      <c r="F35" s="163">
        <f t="shared" si="10"/>
        <v>240782.77064990983</v>
      </c>
      <c r="G35" s="165">
        <f t="shared" si="11"/>
        <v>41202.923907661774</v>
      </c>
      <c r="H35" s="147">
        <f t="shared" si="12"/>
        <v>41202.923907661774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2025</v>
      </c>
      <c r="D36" s="163">
        <f>IF(F35+SUM(E$17:E35)=D$10,F35,D$10-SUM(E$17:E35))</f>
        <v>240782.77064990983</v>
      </c>
      <c r="E36" s="164">
        <f>IF(+I14&lt;F35,I14,D36)</f>
        <v>8616.4888888888891</v>
      </c>
      <c r="F36" s="163">
        <f t="shared" si="10"/>
        <v>232166.28176102095</v>
      </c>
      <c r="G36" s="165">
        <f t="shared" si="11"/>
        <v>40036.807849980876</v>
      </c>
      <c r="H36" s="147">
        <f t="shared" si="12"/>
        <v>40036.807849980876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2026</v>
      </c>
      <c r="D37" s="163">
        <f>IF(F36+SUM(E$17:E36)=D$10,F36,D$10-SUM(E$17:E36))</f>
        <v>232166.28176102095</v>
      </c>
      <c r="E37" s="164">
        <f>IF(+I14&lt;F36,I14,D37)</f>
        <v>8616.4888888888891</v>
      </c>
      <c r="F37" s="163">
        <f t="shared" si="10"/>
        <v>223549.79287213206</v>
      </c>
      <c r="G37" s="165">
        <f t="shared" si="11"/>
        <v>38870.691792299986</v>
      </c>
      <c r="H37" s="147">
        <f t="shared" si="12"/>
        <v>38870.691792299986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2027</v>
      </c>
      <c r="D38" s="163">
        <f>IF(F37+SUM(E$17:E37)=D$10,F37,D$10-SUM(E$17:E37))</f>
        <v>223549.79287213206</v>
      </c>
      <c r="E38" s="164">
        <f>IF(+I14&lt;F37,I14,D38)</f>
        <v>8616.4888888888891</v>
      </c>
      <c r="F38" s="163">
        <f t="shared" si="10"/>
        <v>214933.30398324318</v>
      </c>
      <c r="G38" s="165">
        <f t="shared" si="11"/>
        <v>37704.575734619088</v>
      </c>
      <c r="H38" s="147">
        <f t="shared" si="12"/>
        <v>37704.575734619088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2028</v>
      </c>
      <c r="D39" s="163">
        <f>IF(F38+SUM(E$17:E38)=D$10,F38,D$10-SUM(E$17:E38))</f>
        <v>214933.30398324318</v>
      </c>
      <c r="E39" s="164">
        <f>IF(+I14&lt;F38,I14,D39)</f>
        <v>8616.4888888888891</v>
      </c>
      <c r="F39" s="163">
        <f t="shared" si="10"/>
        <v>206316.8150943543</v>
      </c>
      <c r="G39" s="165">
        <f t="shared" si="11"/>
        <v>36538.45967693819</v>
      </c>
      <c r="H39" s="147">
        <f t="shared" si="12"/>
        <v>36538.45967693819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2029</v>
      </c>
      <c r="D40" s="163">
        <f>IF(F39+SUM(E$17:E39)=D$10,F39,D$10-SUM(E$17:E39))</f>
        <v>206316.8150943543</v>
      </c>
      <c r="E40" s="164">
        <f>IF(+I14&lt;F39,I14,D40)</f>
        <v>8616.4888888888891</v>
      </c>
      <c r="F40" s="163">
        <f t="shared" si="10"/>
        <v>197700.32620546542</v>
      </c>
      <c r="G40" s="165">
        <f t="shared" si="11"/>
        <v>35372.343619257299</v>
      </c>
      <c r="H40" s="147">
        <f t="shared" si="12"/>
        <v>35372.343619257299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2030</v>
      </c>
      <c r="D41" s="163">
        <f>IF(F40+SUM(E$17:E40)=D$10,F40,D$10-SUM(E$17:E40))</f>
        <v>197700.32620546542</v>
      </c>
      <c r="E41" s="164">
        <f>IF(+I14&lt;F40,I14,D41)</f>
        <v>8616.4888888888891</v>
      </c>
      <c r="F41" s="163">
        <f t="shared" si="10"/>
        <v>189083.83731657654</v>
      </c>
      <c r="G41" s="165">
        <f t="shared" si="11"/>
        <v>34206.227561576401</v>
      </c>
      <c r="H41" s="147">
        <f t="shared" si="12"/>
        <v>34206.227561576401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2031</v>
      </c>
      <c r="D42" s="163">
        <f>IF(F41+SUM(E$17:E41)=D$10,F41,D$10-SUM(E$17:E41))</f>
        <v>189083.83731657654</v>
      </c>
      <c r="E42" s="164">
        <f>IF(+I14&lt;F41,I14,D42)</f>
        <v>8616.4888888888891</v>
      </c>
      <c r="F42" s="163">
        <f t="shared" si="10"/>
        <v>180467.34842768766</v>
      </c>
      <c r="G42" s="165">
        <f t="shared" si="11"/>
        <v>33040.111503895503</v>
      </c>
      <c r="H42" s="147">
        <f t="shared" si="12"/>
        <v>33040.111503895503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2032</v>
      </c>
      <c r="D43" s="163">
        <f>IF(F42+SUM(E$17:E42)=D$10,F42,D$10-SUM(E$17:E42))</f>
        <v>180467.34842768766</v>
      </c>
      <c r="E43" s="164">
        <f>IF(+I14&lt;F42,I14,D43)</f>
        <v>8616.4888888888891</v>
      </c>
      <c r="F43" s="163">
        <f t="shared" si="10"/>
        <v>171850.85953879877</v>
      </c>
      <c r="G43" s="165">
        <f t="shared" si="11"/>
        <v>31873.995446214609</v>
      </c>
      <c r="H43" s="147">
        <f t="shared" si="12"/>
        <v>31873.995446214609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2033</v>
      </c>
      <c r="D44" s="163">
        <f>IF(F43+SUM(E$17:E43)=D$10,F43,D$10-SUM(E$17:E43))</f>
        <v>171850.85953879877</v>
      </c>
      <c r="E44" s="164">
        <f>IF(+I14&lt;F43,I14,D44)</f>
        <v>8616.4888888888891</v>
      </c>
      <c r="F44" s="163">
        <f t="shared" si="10"/>
        <v>163234.37064990989</v>
      </c>
      <c r="G44" s="165">
        <f t="shared" si="11"/>
        <v>30707.879388533715</v>
      </c>
      <c r="H44" s="147">
        <f t="shared" si="12"/>
        <v>30707.879388533715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2034</v>
      </c>
      <c r="D45" s="163">
        <f>IF(F44+SUM(E$17:E44)=D$10,F44,D$10-SUM(E$17:E44))</f>
        <v>163234.37064990989</v>
      </c>
      <c r="E45" s="164">
        <f>IF(+I14&lt;F44,I14,D45)</f>
        <v>8616.4888888888891</v>
      </c>
      <c r="F45" s="163">
        <f t="shared" si="10"/>
        <v>154617.88176102101</v>
      </c>
      <c r="G45" s="165">
        <f t="shared" si="11"/>
        <v>29541.763330852817</v>
      </c>
      <c r="H45" s="147">
        <f t="shared" si="12"/>
        <v>29541.763330852817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2035</v>
      </c>
      <c r="D46" s="163">
        <f>IF(F45+SUM(E$17:E45)=D$10,F45,D$10-SUM(E$17:E45))</f>
        <v>154617.88176102101</v>
      </c>
      <c r="E46" s="164">
        <f>IF(+I14&lt;F45,I14,D46)</f>
        <v>8616.4888888888891</v>
      </c>
      <c r="F46" s="163">
        <f t="shared" si="10"/>
        <v>146001.39287213213</v>
      </c>
      <c r="G46" s="165">
        <f t="shared" si="11"/>
        <v>28375.647273171922</v>
      </c>
      <c r="H46" s="147">
        <f t="shared" si="12"/>
        <v>28375.647273171922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2036</v>
      </c>
      <c r="D47" s="163">
        <f>IF(F46+SUM(E$17:E46)=D$10,F46,D$10-SUM(E$17:E46))</f>
        <v>146001.39287213213</v>
      </c>
      <c r="E47" s="164">
        <f>IF(+I14&lt;F46,I14,D47)</f>
        <v>8616.4888888888891</v>
      </c>
      <c r="F47" s="163">
        <f t="shared" si="10"/>
        <v>137384.90398324325</v>
      </c>
      <c r="G47" s="165">
        <f t="shared" si="11"/>
        <v>27209.531215491024</v>
      </c>
      <c r="H47" s="147">
        <f t="shared" si="12"/>
        <v>27209.531215491024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2037</v>
      </c>
      <c r="D48" s="163">
        <f>IF(F47+SUM(E$17:E47)=D$10,F47,D$10-SUM(E$17:E47))</f>
        <v>137384.90398324325</v>
      </c>
      <c r="E48" s="164">
        <f>IF(+I14&lt;F47,I14,D48)</f>
        <v>8616.4888888888891</v>
      </c>
      <c r="F48" s="163">
        <f t="shared" si="10"/>
        <v>128768.41509435436</v>
      </c>
      <c r="G48" s="165">
        <f t="shared" si="11"/>
        <v>26043.41515781013</v>
      </c>
      <c r="H48" s="147">
        <f t="shared" si="12"/>
        <v>26043.41515781013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2038</v>
      </c>
      <c r="D49" s="163">
        <f>IF(F48+SUM(E$17:E48)=D$10,F48,D$10-SUM(E$17:E48))</f>
        <v>128768.41509435436</v>
      </c>
      <c r="E49" s="164">
        <f>IF(+I14&lt;F48,I14,D49)</f>
        <v>8616.4888888888891</v>
      </c>
      <c r="F49" s="163">
        <f t="shared" si="10"/>
        <v>120151.92620546548</v>
      </c>
      <c r="G49" s="165">
        <f t="shared" si="11"/>
        <v>24877.299100129232</v>
      </c>
      <c r="H49" s="147">
        <f t="shared" si="12"/>
        <v>24877.299100129232</v>
      </c>
      <c r="I49" s="160">
        <f t="shared" ref="I49:I72" si="13">H49-G49</f>
        <v>0</v>
      </c>
      <c r="J49" s="160"/>
      <c r="K49" s="330"/>
      <c r="L49" s="162">
        <f t="shared" ref="L49:L72" si="14">IF(K49&lt;&gt;0,+G49-K49,0)</f>
        <v>0</v>
      </c>
      <c r="M49" s="330"/>
      <c r="N49" s="162">
        <f t="shared" ref="N49:N72" si="15">IF(M49&lt;&gt;0,+H49-M49,0)</f>
        <v>0</v>
      </c>
      <c r="O49" s="162">
        <f t="shared" ref="O49:O72" si="16">+N49-L49</f>
        <v>0</v>
      </c>
      <c r="P49" s="4"/>
    </row>
    <row r="50" spans="2:16">
      <c r="B50" s="9" t="str">
        <f t="shared" si="6"/>
        <v/>
      </c>
      <c r="C50" s="157">
        <f>IF(D11="","-",+C49+1)</f>
        <v>2039</v>
      </c>
      <c r="D50" s="163">
        <f>IF(F49+SUM(E$17:E49)=D$10,F49,D$10-SUM(E$17:E49))</f>
        <v>120151.92620546548</v>
      </c>
      <c r="E50" s="164">
        <f>IF(+I14&lt;F49,I14,D50)</f>
        <v>8616.4888888888891</v>
      </c>
      <c r="F50" s="163">
        <f t="shared" si="10"/>
        <v>111535.4373165766</v>
      </c>
      <c r="G50" s="165">
        <f t="shared" si="11"/>
        <v>23711.183042448341</v>
      </c>
      <c r="H50" s="147">
        <f t="shared" si="12"/>
        <v>23711.183042448341</v>
      </c>
      <c r="I50" s="160">
        <f t="shared" si="13"/>
        <v>0</v>
      </c>
      <c r="J50" s="160"/>
      <c r="K50" s="330"/>
      <c r="L50" s="162">
        <f t="shared" si="14"/>
        <v>0</v>
      </c>
      <c r="M50" s="330"/>
      <c r="N50" s="162">
        <f t="shared" si="15"/>
        <v>0</v>
      </c>
      <c r="O50" s="162">
        <f t="shared" si="16"/>
        <v>0</v>
      </c>
      <c r="P50" s="4"/>
    </row>
    <row r="51" spans="2:16">
      <c r="B51" s="9" t="str">
        <f t="shared" si="6"/>
        <v/>
      </c>
      <c r="C51" s="157">
        <f>IF(D11="","-",+C50+1)</f>
        <v>2040</v>
      </c>
      <c r="D51" s="163">
        <f>IF(F50+SUM(E$17:E50)=D$10,F50,D$10-SUM(E$17:E50))</f>
        <v>111535.4373165766</v>
      </c>
      <c r="E51" s="164">
        <f>IF(+I14&lt;F50,I14,D51)</f>
        <v>8616.4888888888891</v>
      </c>
      <c r="F51" s="163">
        <f t="shared" si="10"/>
        <v>102918.94842768772</v>
      </c>
      <c r="G51" s="165">
        <f t="shared" si="11"/>
        <v>22545.066984767444</v>
      </c>
      <c r="H51" s="147">
        <f t="shared" si="12"/>
        <v>22545.066984767444</v>
      </c>
      <c r="I51" s="160">
        <f t="shared" si="13"/>
        <v>0</v>
      </c>
      <c r="J51" s="160"/>
      <c r="K51" s="330"/>
      <c r="L51" s="162">
        <f t="shared" si="14"/>
        <v>0</v>
      </c>
      <c r="M51" s="330"/>
      <c r="N51" s="162">
        <f t="shared" si="15"/>
        <v>0</v>
      </c>
      <c r="O51" s="162">
        <f t="shared" si="16"/>
        <v>0</v>
      </c>
      <c r="P51" s="4"/>
    </row>
    <row r="52" spans="2:16">
      <c r="B52" s="9" t="str">
        <f t="shared" si="6"/>
        <v/>
      </c>
      <c r="C52" s="157">
        <f>IF(D11="","-",+C51+1)</f>
        <v>2041</v>
      </c>
      <c r="D52" s="163">
        <f>IF(F51+SUM(E$17:E51)=D$10,F51,D$10-SUM(E$17:E51))</f>
        <v>102918.94842768772</v>
      </c>
      <c r="E52" s="164">
        <f>IF(+I14&lt;F51,I14,D52)</f>
        <v>8616.4888888888891</v>
      </c>
      <c r="F52" s="163">
        <f t="shared" si="10"/>
        <v>94302.459538798837</v>
      </c>
      <c r="G52" s="165">
        <f t="shared" si="11"/>
        <v>21378.950927086546</v>
      </c>
      <c r="H52" s="147">
        <f t="shared" si="12"/>
        <v>21378.950927086546</v>
      </c>
      <c r="I52" s="160">
        <f t="shared" si="13"/>
        <v>0</v>
      </c>
      <c r="J52" s="160"/>
      <c r="K52" s="330"/>
      <c r="L52" s="162">
        <f t="shared" si="14"/>
        <v>0</v>
      </c>
      <c r="M52" s="330"/>
      <c r="N52" s="162">
        <f t="shared" si="15"/>
        <v>0</v>
      </c>
      <c r="O52" s="162">
        <f t="shared" si="16"/>
        <v>0</v>
      </c>
      <c r="P52" s="4"/>
    </row>
    <row r="53" spans="2:16">
      <c r="B53" s="9" t="str">
        <f t="shared" si="6"/>
        <v/>
      </c>
      <c r="C53" s="157">
        <f>IF(D11="","-",+C52+1)</f>
        <v>2042</v>
      </c>
      <c r="D53" s="163">
        <f>IF(F52+SUM(E$17:E52)=D$10,F52,D$10-SUM(E$17:E52))</f>
        <v>94302.459538798837</v>
      </c>
      <c r="E53" s="164">
        <f>IF(+I14&lt;F52,I14,D53)</f>
        <v>8616.4888888888891</v>
      </c>
      <c r="F53" s="163">
        <f t="shared" si="10"/>
        <v>85685.970649909956</v>
      </c>
      <c r="G53" s="165">
        <f t="shared" si="11"/>
        <v>20212.834869405651</v>
      </c>
      <c r="H53" s="147">
        <f t="shared" si="12"/>
        <v>20212.834869405651</v>
      </c>
      <c r="I53" s="160">
        <f t="shared" si="13"/>
        <v>0</v>
      </c>
      <c r="J53" s="160"/>
      <c r="K53" s="330"/>
      <c r="L53" s="162">
        <f t="shared" si="14"/>
        <v>0</v>
      </c>
      <c r="M53" s="330"/>
      <c r="N53" s="162">
        <f t="shared" si="15"/>
        <v>0</v>
      </c>
      <c r="O53" s="162">
        <f t="shared" si="16"/>
        <v>0</v>
      </c>
      <c r="P53" s="4"/>
    </row>
    <row r="54" spans="2:16">
      <c r="B54" s="9" t="str">
        <f t="shared" si="6"/>
        <v/>
      </c>
      <c r="C54" s="157">
        <f>IF(D11="","-",+C53+1)</f>
        <v>2043</v>
      </c>
      <c r="D54" s="163">
        <f>IF(F53+SUM(E$17:E53)=D$10,F53,D$10-SUM(E$17:E53))</f>
        <v>85685.970649909956</v>
      </c>
      <c r="E54" s="164">
        <f>IF(+I14&lt;F53,I14,D54)</f>
        <v>8616.4888888888891</v>
      </c>
      <c r="F54" s="163">
        <f t="shared" si="10"/>
        <v>77069.481761021074</v>
      </c>
      <c r="G54" s="165">
        <f t="shared" si="11"/>
        <v>19046.718811724757</v>
      </c>
      <c r="H54" s="147">
        <f t="shared" si="12"/>
        <v>19046.718811724757</v>
      </c>
      <c r="I54" s="160">
        <f t="shared" si="13"/>
        <v>0</v>
      </c>
      <c r="J54" s="160"/>
      <c r="K54" s="330"/>
      <c r="L54" s="162">
        <f t="shared" si="14"/>
        <v>0</v>
      </c>
      <c r="M54" s="330"/>
      <c r="N54" s="162">
        <f t="shared" si="15"/>
        <v>0</v>
      </c>
      <c r="O54" s="162">
        <f t="shared" si="16"/>
        <v>0</v>
      </c>
      <c r="P54" s="4"/>
    </row>
    <row r="55" spans="2:16">
      <c r="B55" s="9" t="str">
        <f t="shared" si="6"/>
        <v/>
      </c>
      <c r="C55" s="157">
        <f>IF(D11="","-",+C54+1)</f>
        <v>2044</v>
      </c>
      <c r="D55" s="163">
        <f>IF(F54+SUM(E$17:E54)=D$10,F54,D$10-SUM(E$17:E54))</f>
        <v>77069.481761021074</v>
      </c>
      <c r="E55" s="164">
        <f>IF(+I14&lt;F54,I14,D55)</f>
        <v>8616.4888888888891</v>
      </c>
      <c r="F55" s="163">
        <f t="shared" si="10"/>
        <v>68452.992872132192</v>
      </c>
      <c r="G55" s="165">
        <f t="shared" si="11"/>
        <v>17880.602754043859</v>
      </c>
      <c r="H55" s="147">
        <f t="shared" si="12"/>
        <v>17880.602754043859</v>
      </c>
      <c r="I55" s="160">
        <f t="shared" si="13"/>
        <v>0</v>
      </c>
      <c r="J55" s="160"/>
      <c r="K55" s="330"/>
      <c r="L55" s="162">
        <f t="shared" si="14"/>
        <v>0</v>
      </c>
      <c r="M55" s="330"/>
      <c r="N55" s="162">
        <f t="shared" si="15"/>
        <v>0</v>
      </c>
      <c r="O55" s="162">
        <f t="shared" si="16"/>
        <v>0</v>
      </c>
      <c r="P55" s="4"/>
    </row>
    <row r="56" spans="2:16">
      <c r="B56" s="9" t="str">
        <f t="shared" si="6"/>
        <v/>
      </c>
      <c r="C56" s="157">
        <f>IF(D11="","-",+C55+1)</f>
        <v>2045</v>
      </c>
      <c r="D56" s="163">
        <f>IF(F55+SUM(E$17:E55)=D$10,F55,D$10-SUM(E$17:E55))</f>
        <v>68452.992872132192</v>
      </c>
      <c r="E56" s="164">
        <f>IF(+I14&lt;F55,I14,D56)</f>
        <v>8616.4888888888891</v>
      </c>
      <c r="F56" s="163">
        <f t="shared" si="10"/>
        <v>59836.503983243303</v>
      </c>
      <c r="G56" s="165">
        <f t="shared" si="11"/>
        <v>16714.486696362965</v>
      </c>
      <c r="H56" s="147">
        <f t="shared" si="12"/>
        <v>16714.486696362965</v>
      </c>
      <c r="I56" s="160">
        <f t="shared" si="13"/>
        <v>0</v>
      </c>
      <c r="J56" s="160"/>
      <c r="K56" s="330"/>
      <c r="L56" s="162">
        <f t="shared" si="14"/>
        <v>0</v>
      </c>
      <c r="M56" s="330"/>
      <c r="N56" s="162">
        <f t="shared" si="15"/>
        <v>0</v>
      </c>
      <c r="O56" s="162">
        <f t="shared" si="16"/>
        <v>0</v>
      </c>
      <c r="P56" s="4"/>
    </row>
    <row r="57" spans="2:16">
      <c r="B57" s="9" t="str">
        <f t="shared" si="6"/>
        <v/>
      </c>
      <c r="C57" s="157">
        <f>IF(D11="","-",+C56+1)</f>
        <v>2046</v>
      </c>
      <c r="D57" s="163">
        <f>IF(F56+SUM(E$17:E56)=D$10,F56,D$10-SUM(E$17:E56))</f>
        <v>59836.503983243303</v>
      </c>
      <c r="E57" s="164">
        <f>IF(+I14&lt;F56,I14,D57)</f>
        <v>8616.4888888888891</v>
      </c>
      <c r="F57" s="163">
        <f t="shared" si="10"/>
        <v>51220.015094354414</v>
      </c>
      <c r="G57" s="165">
        <f t="shared" si="11"/>
        <v>15548.370638682067</v>
      </c>
      <c r="H57" s="147">
        <f t="shared" si="12"/>
        <v>15548.370638682067</v>
      </c>
      <c r="I57" s="160">
        <f t="shared" si="13"/>
        <v>0</v>
      </c>
      <c r="J57" s="160"/>
      <c r="K57" s="330"/>
      <c r="L57" s="162">
        <f t="shared" si="14"/>
        <v>0</v>
      </c>
      <c r="M57" s="330"/>
      <c r="N57" s="162">
        <f t="shared" si="15"/>
        <v>0</v>
      </c>
      <c r="O57" s="162">
        <f t="shared" si="16"/>
        <v>0</v>
      </c>
      <c r="P57" s="4"/>
    </row>
    <row r="58" spans="2:16">
      <c r="B58" s="9" t="str">
        <f t="shared" si="6"/>
        <v/>
      </c>
      <c r="C58" s="157">
        <f>IF(D11="","-",+C57+1)</f>
        <v>2047</v>
      </c>
      <c r="D58" s="163">
        <f>IF(F57+SUM(E$17:E57)=D$10,F57,D$10-SUM(E$17:E57))</f>
        <v>51220.015094354414</v>
      </c>
      <c r="E58" s="164">
        <f>IF(+I14&lt;F57,I14,D58)</f>
        <v>8616.4888888888891</v>
      </c>
      <c r="F58" s="163">
        <f t="shared" si="10"/>
        <v>42603.526205465525</v>
      </c>
      <c r="G58" s="165">
        <f t="shared" si="11"/>
        <v>14382.254581001171</v>
      </c>
      <c r="H58" s="147">
        <f t="shared" si="12"/>
        <v>14382.254581001171</v>
      </c>
      <c r="I58" s="160">
        <f t="shared" si="13"/>
        <v>0</v>
      </c>
      <c r="J58" s="160"/>
      <c r="K58" s="330"/>
      <c r="L58" s="162">
        <f t="shared" si="14"/>
        <v>0</v>
      </c>
      <c r="M58" s="330"/>
      <c r="N58" s="162">
        <f t="shared" si="15"/>
        <v>0</v>
      </c>
      <c r="O58" s="162">
        <f t="shared" si="16"/>
        <v>0</v>
      </c>
      <c r="P58" s="4"/>
    </row>
    <row r="59" spans="2:16">
      <c r="B59" s="9" t="str">
        <f t="shared" si="6"/>
        <v/>
      </c>
      <c r="C59" s="157">
        <f>IF(D11="","-",+C58+1)</f>
        <v>2048</v>
      </c>
      <c r="D59" s="163">
        <f>IF(F58+SUM(E$17:E58)=D$10,F58,D$10-SUM(E$17:E58))</f>
        <v>42603.526205465525</v>
      </c>
      <c r="E59" s="164">
        <f>IF(+I14&lt;F58,I14,D59)</f>
        <v>8616.4888888888891</v>
      </c>
      <c r="F59" s="163">
        <f t="shared" si="10"/>
        <v>33987.037316576636</v>
      </c>
      <c r="G59" s="165">
        <f t="shared" si="11"/>
        <v>13216.138523320275</v>
      </c>
      <c r="H59" s="147">
        <f t="shared" si="12"/>
        <v>13216.138523320275</v>
      </c>
      <c r="I59" s="160">
        <f t="shared" si="13"/>
        <v>0</v>
      </c>
      <c r="J59" s="160"/>
      <c r="K59" s="330"/>
      <c r="L59" s="162">
        <f t="shared" si="14"/>
        <v>0</v>
      </c>
      <c r="M59" s="330"/>
      <c r="N59" s="162">
        <f t="shared" si="15"/>
        <v>0</v>
      </c>
      <c r="O59" s="162">
        <f t="shared" si="16"/>
        <v>0</v>
      </c>
      <c r="P59" s="4"/>
    </row>
    <row r="60" spans="2:16">
      <c r="B60" s="9" t="str">
        <f t="shared" si="6"/>
        <v/>
      </c>
      <c r="C60" s="157">
        <f>IF(D11="","-",+C59+1)</f>
        <v>2049</v>
      </c>
      <c r="D60" s="163">
        <f>IF(F59+SUM(E$17:E59)=D$10,F59,D$10-SUM(E$17:E59))</f>
        <v>33987.037316576636</v>
      </c>
      <c r="E60" s="164">
        <f>IF(+I14&lt;F59,I14,D60)</f>
        <v>8616.4888888888891</v>
      </c>
      <c r="F60" s="163">
        <f t="shared" si="10"/>
        <v>25370.548427687747</v>
      </c>
      <c r="G60" s="165">
        <f t="shared" si="11"/>
        <v>12050.022465639377</v>
      </c>
      <c r="H60" s="147">
        <f t="shared" si="12"/>
        <v>12050.022465639377</v>
      </c>
      <c r="I60" s="160">
        <f t="shared" si="13"/>
        <v>0</v>
      </c>
      <c r="J60" s="160"/>
      <c r="K60" s="330"/>
      <c r="L60" s="162">
        <f t="shared" si="14"/>
        <v>0</v>
      </c>
      <c r="M60" s="330"/>
      <c r="N60" s="162">
        <f t="shared" si="15"/>
        <v>0</v>
      </c>
      <c r="O60" s="162">
        <f t="shared" si="16"/>
        <v>0</v>
      </c>
      <c r="P60" s="4"/>
    </row>
    <row r="61" spans="2:16">
      <c r="B61" s="9" t="str">
        <f t="shared" si="6"/>
        <v/>
      </c>
      <c r="C61" s="157">
        <f>IF(D11="","-",+C60+1)</f>
        <v>2050</v>
      </c>
      <c r="D61" s="163">
        <f>IF(F60+SUM(E$17:E60)=D$10,F60,D$10-SUM(E$17:E60))</f>
        <v>25370.548427687747</v>
      </c>
      <c r="E61" s="164">
        <f>IF(+I14&lt;F60,I14,D61)</f>
        <v>8616.4888888888891</v>
      </c>
      <c r="F61" s="163">
        <f t="shared" si="10"/>
        <v>16754.059538798858</v>
      </c>
      <c r="G61" s="167">
        <f t="shared" si="11"/>
        <v>10883.90640795848</v>
      </c>
      <c r="H61" s="147">
        <f t="shared" si="12"/>
        <v>10883.90640795848</v>
      </c>
      <c r="I61" s="160">
        <f t="shared" si="13"/>
        <v>0</v>
      </c>
      <c r="J61" s="160"/>
      <c r="K61" s="330"/>
      <c r="L61" s="162">
        <f t="shared" si="14"/>
        <v>0</v>
      </c>
      <c r="M61" s="330"/>
      <c r="N61" s="162">
        <f t="shared" si="15"/>
        <v>0</v>
      </c>
      <c r="O61" s="162">
        <f t="shared" si="16"/>
        <v>0</v>
      </c>
      <c r="P61" s="4"/>
    </row>
    <row r="62" spans="2:16">
      <c r="B62" s="9" t="str">
        <f t="shared" si="6"/>
        <v/>
      </c>
      <c r="C62" s="157">
        <f>IF(D11="","-",+C61+1)</f>
        <v>2051</v>
      </c>
      <c r="D62" s="163">
        <f>IF(F61+SUM(E$17:E61)=D$10,F61,D$10-SUM(E$17:E61))</f>
        <v>16754.059538798858</v>
      </c>
      <c r="E62" s="164">
        <f>IF(+I14&lt;F61,I14,D62)</f>
        <v>8616.4888888888891</v>
      </c>
      <c r="F62" s="163">
        <f t="shared" si="10"/>
        <v>8137.5706499099688</v>
      </c>
      <c r="G62" s="167">
        <f t="shared" si="11"/>
        <v>9717.7903502775844</v>
      </c>
      <c r="H62" s="147">
        <f t="shared" si="12"/>
        <v>9717.7903502775844</v>
      </c>
      <c r="I62" s="160">
        <f t="shared" si="13"/>
        <v>0</v>
      </c>
      <c r="J62" s="160"/>
      <c r="K62" s="330"/>
      <c r="L62" s="162">
        <f t="shared" si="14"/>
        <v>0</v>
      </c>
      <c r="M62" s="330"/>
      <c r="N62" s="162">
        <f t="shared" si="15"/>
        <v>0</v>
      </c>
      <c r="O62" s="162">
        <f t="shared" si="16"/>
        <v>0</v>
      </c>
      <c r="P62" s="4"/>
    </row>
    <row r="63" spans="2:16">
      <c r="B63" s="9" t="str">
        <f t="shared" si="6"/>
        <v/>
      </c>
      <c r="C63" s="157">
        <f>IF(D11="","-",+C62+1)</f>
        <v>2052</v>
      </c>
      <c r="D63" s="163">
        <f>IF(F62+SUM(E$17:E62)=D$10,F62,D$10-SUM(E$17:E62))</f>
        <v>8137.5706499099688</v>
      </c>
      <c r="E63" s="164">
        <f>IF(+I14&lt;F62,I14,D63)</f>
        <v>8137.5706499099688</v>
      </c>
      <c r="F63" s="163">
        <f t="shared" si="10"/>
        <v>0</v>
      </c>
      <c r="G63" s="167">
        <f t="shared" si="11"/>
        <v>8137.5706499099688</v>
      </c>
      <c r="H63" s="147">
        <f t="shared" si="12"/>
        <v>8137.5706499099688</v>
      </c>
      <c r="I63" s="160">
        <f t="shared" si="13"/>
        <v>0</v>
      </c>
      <c r="J63" s="160"/>
      <c r="K63" s="330"/>
      <c r="L63" s="162">
        <f t="shared" si="14"/>
        <v>0</v>
      </c>
      <c r="M63" s="330"/>
      <c r="N63" s="162">
        <f t="shared" si="15"/>
        <v>0</v>
      </c>
      <c r="O63" s="162">
        <f t="shared" si="16"/>
        <v>0</v>
      </c>
      <c r="P63" s="4"/>
    </row>
    <row r="64" spans="2:16">
      <c r="B64" s="9" t="str">
        <f t="shared" si="6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0"/>
        <v>0</v>
      </c>
      <c r="G64" s="167">
        <f t="shared" si="11"/>
        <v>0</v>
      </c>
      <c r="H64" s="147">
        <f t="shared" si="12"/>
        <v>0</v>
      </c>
      <c r="I64" s="160">
        <f t="shared" si="13"/>
        <v>0</v>
      </c>
      <c r="J64" s="160"/>
      <c r="K64" s="330"/>
      <c r="L64" s="162">
        <f t="shared" si="14"/>
        <v>0</v>
      </c>
      <c r="M64" s="330"/>
      <c r="N64" s="162">
        <f t="shared" si="15"/>
        <v>0</v>
      </c>
      <c r="O64" s="162">
        <f t="shared" si="16"/>
        <v>0</v>
      </c>
      <c r="P64" s="4"/>
    </row>
    <row r="65" spans="2:16">
      <c r="B65" s="9" t="str">
        <f t="shared" si="6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0"/>
        <v>0</v>
      </c>
      <c r="G65" s="167">
        <f t="shared" si="11"/>
        <v>0</v>
      </c>
      <c r="H65" s="147">
        <f t="shared" si="12"/>
        <v>0</v>
      </c>
      <c r="I65" s="160">
        <f t="shared" si="13"/>
        <v>0</v>
      </c>
      <c r="J65" s="160"/>
      <c r="K65" s="330"/>
      <c r="L65" s="162">
        <f t="shared" si="14"/>
        <v>0</v>
      </c>
      <c r="M65" s="330"/>
      <c r="N65" s="162">
        <f t="shared" si="15"/>
        <v>0</v>
      </c>
      <c r="O65" s="162">
        <f t="shared" si="16"/>
        <v>0</v>
      </c>
      <c r="P65" s="4"/>
    </row>
    <row r="66" spans="2:16">
      <c r="B66" s="9" t="str">
        <f t="shared" si="6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0"/>
        <v>0</v>
      </c>
      <c r="G66" s="167">
        <f t="shared" si="11"/>
        <v>0</v>
      </c>
      <c r="H66" s="147">
        <f t="shared" si="12"/>
        <v>0</v>
      </c>
      <c r="I66" s="160">
        <f t="shared" si="13"/>
        <v>0</v>
      </c>
      <c r="J66" s="160"/>
      <c r="K66" s="330"/>
      <c r="L66" s="162">
        <f t="shared" si="14"/>
        <v>0</v>
      </c>
      <c r="M66" s="330"/>
      <c r="N66" s="162">
        <f t="shared" si="15"/>
        <v>0</v>
      </c>
      <c r="O66" s="162">
        <f t="shared" si="16"/>
        <v>0</v>
      </c>
      <c r="P66" s="4"/>
    </row>
    <row r="67" spans="2:16">
      <c r="B67" s="9" t="str">
        <f t="shared" si="6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0"/>
        <v>0</v>
      </c>
      <c r="G67" s="167">
        <f t="shared" si="11"/>
        <v>0</v>
      </c>
      <c r="H67" s="147">
        <f t="shared" si="12"/>
        <v>0</v>
      </c>
      <c r="I67" s="160">
        <f t="shared" si="13"/>
        <v>0</v>
      </c>
      <c r="J67" s="160"/>
      <c r="K67" s="330"/>
      <c r="L67" s="162">
        <f t="shared" si="14"/>
        <v>0</v>
      </c>
      <c r="M67" s="330"/>
      <c r="N67" s="162">
        <f t="shared" si="15"/>
        <v>0</v>
      </c>
      <c r="O67" s="162">
        <f t="shared" si="16"/>
        <v>0</v>
      </c>
      <c r="P67" s="4"/>
    </row>
    <row r="68" spans="2:16">
      <c r="B68" s="9" t="str">
        <f t="shared" si="6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0"/>
        <v>0</v>
      </c>
      <c r="G68" s="167">
        <f t="shared" si="11"/>
        <v>0</v>
      </c>
      <c r="H68" s="147">
        <f t="shared" si="12"/>
        <v>0</v>
      </c>
      <c r="I68" s="160">
        <f t="shared" si="13"/>
        <v>0</v>
      </c>
      <c r="J68" s="160"/>
      <c r="K68" s="330"/>
      <c r="L68" s="162">
        <f t="shared" si="14"/>
        <v>0</v>
      </c>
      <c r="M68" s="330"/>
      <c r="N68" s="162">
        <f t="shared" si="15"/>
        <v>0</v>
      </c>
      <c r="O68" s="162">
        <f t="shared" si="16"/>
        <v>0</v>
      </c>
      <c r="P68" s="4"/>
    </row>
    <row r="69" spans="2:16">
      <c r="B69" s="9" t="str">
        <f t="shared" si="6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0"/>
        <v>0</v>
      </c>
      <c r="G69" s="167">
        <f t="shared" si="11"/>
        <v>0</v>
      </c>
      <c r="H69" s="147">
        <f t="shared" si="12"/>
        <v>0</v>
      </c>
      <c r="I69" s="160">
        <f t="shared" si="13"/>
        <v>0</v>
      </c>
      <c r="J69" s="160"/>
      <c r="K69" s="330"/>
      <c r="L69" s="162">
        <f t="shared" si="14"/>
        <v>0</v>
      </c>
      <c r="M69" s="330"/>
      <c r="N69" s="162">
        <f t="shared" si="15"/>
        <v>0</v>
      </c>
      <c r="O69" s="162">
        <f t="shared" si="16"/>
        <v>0</v>
      </c>
      <c r="P69" s="4"/>
    </row>
    <row r="70" spans="2:16">
      <c r="B70" s="9" t="str">
        <f t="shared" si="6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0"/>
        <v>0</v>
      </c>
      <c r="G70" s="167">
        <f t="shared" si="11"/>
        <v>0</v>
      </c>
      <c r="H70" s="147">
        <f t="shared" si="12"/>
        <v>0</v>
      </c>
      <c r="I70" s="160">
        <f t="shared" si="13"/>
        <v>0</v>
      </c>
      <c r="J70" s="160"/>
      <c r="K70" s="330"/>
      <c r="L70" s="162">
        <f t="shared" si="14"/>
        <v>0</v>
      </c>
      <c r="M70" s="330"/>
      <c r="N70" s="162">
        <f t="shared" si="15"/>
        <v>0</v>
      </c>
      <c r="O70" s="162">
        <f t="shared" si="16"/>
        <v>0</v>
      </c>
      <c r="P70" s="4"/>
    </row>
    <row r="71" spans="2:16">
      <c r="B71" s="9" t="str">
        <f t="shared" si="6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0"/>
        <v>0</v>
      </c>
      <c r="G71" s="167">
        <f t="shared" si="11"/>
        <v>0</v>
      </c>
      <c r="H71" s="147">
        <f t="shared" si="12"/>
        <v>0</v>
      </c>
      <c r="I71" s="160">
        <f t="shared" si="13"/>
        <v>0</v>
      </c>
      <c r="J71" s="160"/>
      <c r="K71" s="330"/>
      <c r="L71" s="162">
        <f t="shared" si="14"/>
        <v>0</v>
      </c>
      <c r="M71" s="330"/>
      <c r="N71" s="162">
        <f t="shared" si="15"/>
        <v>0</v>
      </c>
      <c r="O71" s="162">
        <f t="shared" si="16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0"/>
        <v>0</v>
      </c>
      <c r="G72" s="171">
        <f t="shared" si="11"/>
        <v>0</v>
      </c>
      <c r="H72" s="130">
        <f t="shared" si="12"/>
        <v>0</v>
      </c>
      <c r="I72" s="172">
        <f t="shared" si="13"/>
        <v>0</v>
      </c>
      <c r="J72" s="160"/>
      <c r="K72" s="331"/>
      <c r="L72" s="173">
        <f t="shared" si="14"/>
        <v>0</v>
      </c>
      <c r="M72" s="331"/>
      <c r="N72" s="173">
        <f t="shared" si="15"/>
        <v>0</v>
      </c>
      <c r="O72" s="173">
        <f t="shared" si="16"/>
        <v>0</v>
      </c>
      <c r="P72" s="4"/>
    </row>
    <row r="73" spans="2:16">
      <c r="C73" s="158" t="s">
        <v>77</v>
      </c>
      <c r="D73" s="115"/>
      <c r="E73" s="115">
        <f>SUM(E17:E72)</f>
        <v>387742.00000000017</v>
      </c>
      <c r="F73" s="115"/>
      <c r="G73" s="115">
        <f>SUM(G17:G72)</f>
        <v>1605080.8584801827</v>
      </c>
      <c r="H73" s="115">
        <f>SUM(H17:H72)</f>
        <v>1605080.8584801827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5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48199.620253747162</v>
      </c>
      <c r="N87" s="202">
        <f>IF(J92&lt;D11,0,VLOOKUP(J92,C17:O72,11))</f>
        <v>48199.620253747162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39410.649664559314</v>
      </c>
      <c r="N88" s="204">
        <f>IF(J92&lt;D11,0,VLOOKUP(J92,C99:P154,7))</f>
        <v>39410.649664559314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Catoosa 138 kV Device (Cap. Bank)</v>
      </c>
      <c r="E89" s="1"/>
      <c r="F89" s="1"/>
      <c r="G89" s="1">
        <v>387742</v>
      </c>
      <c r="H89" s="1"/>
      <c r="I89" s="3"/>
      <c r="J89" s="3"/>
      <c r="K89" s="265"/>
      <c r="L89" s="266" t="s">
        <v>156</v>
      </c>
      <c r="M89" s="207">
        <f>+M88-M87</f>
        <v>-8788.9705891878475</v>
      </c>
      <c r="N89" s="207">
        <f>+N88-N87</f>
        <v>-8788.9705891878475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TP2005006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387742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2006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5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9017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101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2006</v>
      </c>
      <c r="D99" s="361">
        <f>IF(D93=C99,0,D92)</f>
        <v>0</v>
      </c>
      <c r="E99" s="363">
        <v>3801</v>
      </c>
      <c r="F99" s="366">
        <v>383941</v>
      </c>
      <c r="G99" s="368">
        <v>385841</v>
      </c>
      <c r="H99" s="369">
        <v>0</v>
      </c>
      <c r="I99" s="370">
        <v>0</v>
      </c>
      <c r="J99" s="162">
        <f t="shared" ref="J99:J130" si="17">+I99-H99</f>
        <v>0</v>
      </c>
      <c r="K99" s="162"/>
      <c r="L99" s="332">
        <v>0</v>
      </c>
      <c r="M99" s="176">
        <f>IF(L99&lt;&gt;0,+H99-L99,0)</f>
        <v>0</v>
      </c>
      <c r="N99" s="332">
        <v>0</v>
      </c>
      <c r="O99" s="161">
        <f>IF(N99&lt;&gt;0,+I99-N99,0)</f>
        <v>0</v>
      </c>
      <c r="P99" s="161">
        <f t="shared" ref="P99:P130" si="18">+O99-M99</f>
        <v>0</v>
      </c>
    </row>
    <row r="100" spans="1:16">
      <c r="B100" s="9" t="str">
        <f t="shared" ref="B100:B154" si="19">IF(D100=F99,"","IU")</f>
        <v/>
      </c>
      <c r="C100" s="157">
        <f>IF(D93="","-",+C99+1)</f>
        <v>2007</v>
      </c>
      <c r="D100" s="361">
        <v>383941</v>
      </c>
      <c r="E100" s="367">
        <v>7603</v>
      </c>
      <c r="F100" s="366">
        <v>376338</v>
      </c>
      <c r="G100" s="366">
        <v>380140</v>
      </c>
      <c r="H100" s="363">
        <v>66528</v>
      </c>
      <c r="I100" s="365">
        <v>66528</v>
      </c>
      <c r="J100" s="162">
        <f t="shared" si="17"/>
        <v>0</v>
      </c>
      <c r="K100" s="162"/>
      <c r="L100" s="333">
        <v>0</v>
      </c>
      <c r="M100" s="269">
        <f>IF(L100&lt;&gt;0,+H100-L100,0)</f>
        <v>0</v>
      </c>
      <c r="N100" s="333">
        <v>0</v>
      </c>
      <c r="O100" s="162">
        <f>IF(N100&lt;&gt;0,+I100-N100,0)</f>
        <v>0</v>
      </c>
      <c r="P100" s="162">
        <f t="shared" si="18"/>
        <v>0</v>
      </c>
    </row>
    <row r="101" spans="1:16">
      <c r="B101" s="9"/>
      <c r="C101" s="157">
        <f>IF(D93="","-",+C100+1)</f>
        <v>2008</v>
      </c>
      <c r="D101" s="361">
        <v>376159</v>
      </c>
      <c r="E101" s="367">
        <v>7316</v>
      </c>
      <c r="F101" s="366">
        <v>368843</v>
      </c>
      <c r="G101" s="366">
        <v>372501</v>
      </c>
      <c r="H101" s="363">
        <v>66486</v>
      </c>
      <c r="I101" s="365">
        <v>66486</v>
      </c>
      <c r="J101" s="162">
        <f t="shared" si="17"/>
        <v>0</v>
      </c>
      <c r="K101" s="162"/>
      <c r="L101" s="333">
        <v>66486</v>
      </c>
      <c r="M101" s="162">
        <f>IF(L101&lt;&gt;"",+H101-L101,0)</f>
        <v>0</v>
      </c>
      <c r="N101" s="333">
        <v>66486</v>
      </c>
      <c r="O101" s="162">
        <f>IF(N101&lt;&gt;"",+I101-N101,0)</f>
        <v>0</v>
      </c>
      <c r="P101" s="162">
        <f t="shared" si="18"/>
        <v>0</v>
      </c>
    </row>
    <row r="102" spans="1:16">
      <c r="B102" s="9"/>
      <c r="C102" s="157">
        <f>IF(D93="","-",+C101+1)</f>
        <v>2009</v>
      </c>
      <c r="D102" s="361">
        <v>369022</v>
      </c>
      <c r="E102" s="363">
        <v>6924</v>
      </c>
      <c r="F102" s="366">
        <v>362098</v>
      </c>
      <c r="G102" s="366">
        <v>365560</v>
      </c>
      <c r="H102" s="363">
        <v>60371.899487403767</v>
      </c>
      <c r="I102" s="365">
        <v>60371.899487403767</v>
      </c>
      <c r="J102" s="162">
        <f t="shared" si="17"/>
        <v>0</v>
      </c>
      <c r="K102" s="162"/>
      <c r="L102" s="333">
        <f t="shared" ref="L102:L107" si="20">H102</f>
        <v>60371.899487403767</v>
      </c>
      <c r="M102" s="269">
        <f t="shared" ref="M102:M133" si="21">IF(L102&lt;&gt;0,+H102-L102,0)</f>
        <v>0</v>
      </c>
      <c r="N102" s="333">
        <f t="shared" ref="N102:N107" si="22">I102</f>
        <v>60371.899487403767</v>
      </c>
      <c r="O102" s="162">
        <f t="shared" ref="O102:O133" si="23">IF(N102&lt;&gt;0,+I102-N102,0)</f>
        <v>0</v>
      </c>
      <c r="P102" s="162">
        <f t="shared" si="18"/>
        <v>0</v>
      </c>
    </row>
    <row r="103" spans="1:16">
      <c r="B103" s="9" t="str">
        <f t="shared" si="19"/>
        <v/>
      </c>
      <c r="C103" s="157">
        <f>IF(D93="","-",+C102+1)</f>
        <v>2010</v>
      </c>
      <c r="D103" s="361">
        <v>362098</v>
      </c>
      <c r="E103" s="363">
        <v>7603</v>
      </c>
      <c r="F103" s="366">
        <v>354495</v>
      </c>
      <c r="G103" s="366">
        <v>358296.5</v>
      </c>
      <c r="H103" s="363">
        <v>65222.531099646738</v>
      </c>
      <c r="I103" s="365">
        <v>65222.531099646738</v>
      </c>
      <c r="J103" s="162">
        <f t="shared" si="17"/>
        <v>0</v>
      </c>
      <c r="K103" s="162"/>
      <c r="L103" s="375">
        <f t="shared" si="20"/>
        <v>65222.531099646738</v>
      </c>
      <c r="M103" s="376">
        <f t="shared" si="21"/>
        <v>0</v>
      </c>
      <c r="N103" s="375">
        <f t="shared" si="22"/>
        <v>65222.531099646738</v>
      </c>
      <c r="O103" s="162">
        <f t="shared" si="23"/>
        <v>0</v>
      </c>
      <c r="P103" s="162">
        <f t="shared" si="18"/>
        <v>0</v>
      </c>
    </row>
    <row r="104" spans="1:16">
      <c r="B104" s="9" t="str">
        <f t="shared" si="19"/>
        <v/>
      </c>
      <c r="C104" s="157">
        <f>IF(D93="","-",+C103+1)</f>
        <v>2011</v>
      </c>
      <c r="D104" s="361">
        <v>354495</v>
      </c>
      <c r="E104" s="363">
        <v>7457</v>
      </c>
      <c r="F104" s="366">
        <v>347038</v>
      </c>
      <c r="G104" s="366">
        <v>350766.5</v>
      </c>
      <c r="H104" s="363">
        <v>56498.870276795831</v>
      </c>
      <c r="I104" s="365">
        <v>56498.870276795831</v>
      </c>
      <c r="J104" s="162">
        <f t="shared" si="17"/>
        <v>0</v>
      </c>
      <c r="K104" s="162"/>
      <c r="L104" s="375">
        <f t="shared" si="20"/>
        <v>56498.870276795831</v>
      </c>
      <c r="M104" s="376">
        <f t="shared" si="21"/>
        <v>0</v>
      </c>
      <c r="N104" s="375">
        <f t="shared" si="22"/>
        <v>56498.870276795831</v>
      </c>
      <c r="O104" s="162">
        <f t="shared" si="23"/>
        <v>0</v>
      </c>
      <c r="P104" s="162">
        <f t="shared" si="18"/>
        <v>0</v>
      </c>
    </row>
    <row r="105" spans="1:16">
      <c r="B105" s="9" t="str">
        <f t="shared" si="19"/>
        <v/>
      </c>
      <c r="C105" s="157">
        <f>IF(D93="","-",+C104+1)</f>
        <v>2012</v>
      </c>
      <c r="D105" s="361">
        <v>347038</v>
      </c>
      <c r="E105" s="363">
        <v>7457</v>
      </c>
      <c r="F105" s="366">
        <v>339581</v>
      </c>
      <c r="G105" s="366">
        <v>343309.5</v>
      </c>
      <c r="H105" s="363">
        <v>56843.953528154576</v>
      </c>
      <c r="I105" s="365">
        <v>56843.953528154576</v>
      </c>
      <c r="J105" s="162">
        <v>0</v>
      </c>
      <c r="K105" s="162"/>
      <c r="L105" s="375">
        <f t="shared" si="20"/>
        <v>56843.953528154576</v>
      </c>
      <c r="M105" s="376">
        <f t="shared" ref="M105:M110" si="24">IF(L105&lt;&gt;0,+H105-L105,0)</f>
        <v>0</v>
      </c>
      <c r="N105" s="375">
        <f t="shared" si="22"/>
        <v>56843.953528154576</v>
      </c>
      <c r="O105" s="162">
        <f t="shared" ref="O105:O110" si="25">IF(N105&lt;&gt;0,+I105-N105,0)</f>
        <v>0</v>
      </c>
      <c r="P105" s="162">
        <f t="shared" ref="P105:P110" si="26">+O105-M105</f>
        <v>0</v>
      </c>
    </row>
    <row r="106" spans="1:16">
      <c r="B106" s="9" t="str">
        <f t="shared" si="19"/>
        <v/>
      </c>
      <c r="C106" s="157">
        <f>IF(D93="","-",+C105+1)</f>
        <v>2013</v>
      </c>
      <c r="D106" s="361">
        <v>339581</v>
      </c>
      <c r="E106" s="363">
        <v>7457</v>
      </c>
      <c r="F106" s="366">
        <v>332124</v>
      </c>
      <c r="G106" s="366">
        <v>335852.5</v>
      </c>
      <c r="H106" s="363">
        <v>55799.472473591821</v>
      </c>
      <c r="I106" s="365">
        <v>55799.472473591821</v>
      </c>
      <c r="J106" s="162">
        <v>0</v>
      </c>
      <c r="K106" s="162"/>
      <c r="L106" s="375">
        <f t="shared" si="20"/>
        <v>55799.472473591821</v>
      </c>
      <c r="M106" s="376">
        <f t="shared" si="24"/>
        <v>0</v>
      </c>
      <c r="N106" s="375">
        <f t="shared" si="22"/>
        <v>55799.472473591821</v>
      </c>
      <c r="O106" s="162">
        <f t="shared" si="25"/>
        <v>0</v>
      </c>
      <c r="P106" s="162">
        <f t="shared" si="26"/>
        <v>0</v>
      </c>
    </row>
    <row r="107" spans="1:16">
      <c r="B107" s="9" t="str">
        <f t="shared" si="19"/>
        <v/>
      </c>
      <c r="C107" s="157">
        <f>IF(D93="","-",+C106+1)</f>
        <v>2014</v>
      </c>
      <c r="D107" s="361">
        <v>332124</v>
      </c>
      <c r="E107" s="363">
        <v>7457</v>
      </c>
      <c r="F107" s="366">
        <v>324667</v>
      </c>
      <c r="G107" s="366">
        <v>328395.5</v>
      </c>
      <c r="H107" s="363">
        <v>53628.064898886892</v>
      </c>
      <c r="I107" s="365">
        <v>53628.064898886892</v>
      </c>
      <c r="J107" s="162">
        <v>0</v>
      </c>
      <c r="K107" s="162"/>
      <c r="L107" s="375">
        <f t="shared" si="20"/>
        <v>53628.064898886892</v>
      </c>
      <c r="M107" s="376">
        <f t="shared" si="24"/>
        <v>0</v>
      </c>
      <c r="N107" s="375">
        <f t="shared" si="22"/>
        <v>53628.064898886892</v>
      </c>
      <c r="O107" s="162">
        <f t="shared" si="25"/>
        <v>0</v>
      </c>
      <c r="P107" s="162">
        <f t="shared" si="26"/>
        <v>0</v>
      </c>
    </row>
    <row r="108" spans="1:16">
      <c r="B108" s="9" t="str">
        <f t="shared" si="19"/>
        <v/>
      </c>
      <c r="C108" s="157">
        <f>IF(D93="","-",+C107+1)</f>
        <v>2015</v>
      </c>
      <c r="D108" s="361">
        <v>324667</v>
      </c>
      <c r="E108" s="363">
        <v>7457</v>
      </c>
      <c r="F108" s="366">
        <v>317210</v>
      </c>
      <c r="G108" s="366">
        <v>320938.5</v>
      </c>
      <c r="H108" s="363">
        <v>51246.477852296055</v>
      </c>
      <c r="I108" s="365">
        <v>51246.477852296055</v>
      </c>
      <c r="J108" s="162">
        <f t="shared" si="17"/>
        <v>0</v>
      </c>
      <c r="K108" s="162"/>
      <c r="L108" s="375">
        <f>H108</f>
        <v>51246.477852296055</v>
      </c>
      <c r="M108" s="376">
        <f t="shared" si="24"/>
        <v>0</v>
      </c>
      <c r="N108" s="375">
        <f>I108</f>
        <v>51246.477852296055</v>
      </c>
      <c r="O108" s="162">
        <f t="shared" si="25"/>
        <v>0</v>
      </c>
      <c r="P108" s="162">
        <f t="shared" si="26"/>
        <v>0</v>
      </c>
    </row>
    <row r="109" spans="1:16">
      <c r="B109" s="9" t="str">
        <f t="shared" si="19"/>
        <v/>
      </c>
      <c r="C109" s="157">
        <f>IF(D93="","-",+C108+1)</f>
        <v>2016</v>
      </c>
      <c r="D109" s="361">
        <v>317210</v>
      </c>
      <c r="E109" s="363">
        <v>8429</v>
      </c>
      <c r="F109" s="366">
        <v>308781</v>
      </c>
      <c r="G109" s="366">
        <v>312995.5</v>
      </c>
      <c r="H109" s="363">
        <v>48779.04927680167</v>
      </c>
      <c r="I109" s="365">
        <v>48779.04927680167</v>
      </c>
      <c r="J109" s="162">
        <f t="shared" si="17"/>
        <v>0</v>
      </c>
      <c r="K109" s="162"/>
      <c r="L109" s="375">
        <f>H109</f>
        <v>48779.04927680167</v>
      </c>
      <c r="M109" s="376">
        <f t="shared" si="24"/>
        <v>0</v>
      </c>
      <c r="N109" s="375">
        <f>I109</f>
        <v>48779.04927680167</v>
      </c>
      <c r="O109" s="162">
        <f t="shared" si="25"/>
        <v>0</v>
      </c>
      <c r="P109" s="162">
        <f t="shared" si="26"/>
        <v>0</v>
      </c>
    </row>
    <row r="110" spans="1:16">
      <c r="B110" s="9" t="str">
        <f t="shared" si="19"/>
        <v/>
      </c>
      <c r="C110" s="157">
        <f>IF(D93="","-",+C109+1)</f>
        <v>2017</v>
      </c>
      <c r="D110" s="361">
        <v>308781</v>
      </c>
      <c r="E110" s="363">
        <v>8429</v>
      </c>
      <c r="F110" s="366">
        <v>300352</v>
      </c>
      <c r="G110" s="366">
        <v>304566.5</v>
      </c>
      <c r="H110" s="363">
        <v>47064.028489702585</v>
      </c>
      <c r="I110" s="365">
        <v>47064.028489702585</v>
      </c>
      <c r="J110" s="162">
        <f t="shared" si="17"/>
        <v>0</v>
      </c>
      <c r="K110" s="162"/>
      <c r="L110" s="375">
        <f>H110</f>
        <v>47064.028489702585</v>
      </c>
      <c r="M110" s="376">
        <f t="shared" si="24"/>
        <v>0</v>
      </c>
      <c r="N110" s="375">
        <f>I110</f>
        <v>47064.028489702585</v>
      </c>
      <c r="O110" s="162">
        <f t="shared" si="25"/>
        <v>0</v>
      </c>
      <c r="P110" s="162">
        <f t="shared" si="26"/>
        <v>0</v>
      </c>
    </row>
    <row r="111" spans="1:16">
      <c r="B111" s="9" t="str">
        <f t="shared" si="19"/>
        <v/>
      </c>
      <c r="C111" s="157">
        <f>IF(D93="","-",+C110+1)</f>
        <v>2018</v>
      </c>
      <c r="D111" s="158">
        <f>IF(F110+SUM(E$99:E110)=D$92,F110,D$92-SUM(E$99:E110))</f>
        <v>300352</v>
      </c>
      <c r="E111" s="165">
        <f>IF(+J96&lt;F110,J96,D111)</f>
        <v>9017</v>
      </c>
      <c r="F111" s="163">
        <f t="shared" ref="F111:F130" si="27">+D111-E111</f>
        <v>291335</v>
      </c>
      <c r="G111" s="163">
        <f t="shared" ref="G111:G130" si="28">+(F111+D111)/2</f>
        <v>295843.5</v>
      </c>
      <c r="H111" s="167">
        <f t="shared" ref="H111:H154" si="29">+J$94*G111+E111</f>
        <v>39410.649664559314</v>
      </c>
      <c r="I111" s="312">
        <f t="shared" ref="I111:I154" si="30">+J$95*G111+E111</f>
        <v>39410.649664559314</v>
      </c>
      <c r="J111" s="162">
        <f t="shared" si="17"/>
        <v>0</v>
      </c>
      <c r="K111" s="162"/>
      <c r="L111" s="330"/>
      <c r="M111" s="162">
        <f t="shared" si="21"/>
        <v>0</v>
      </c>
      <c r="N111" s="330"/>
      <c r="O111" s="162">
        <f t="shared" si="23"/>
        <v>0</v>
      </c>
      <c r="P111" s="162">
        <f t="shared" si="18"/>
        <v>0</v>
      </c>
    </row>
    <row r="112" spans="1:16">
      <c r="B112" s="9" t="str">
        <f t="shared" si="19"/>
        <v/>
      </c>
      <c r="C112" s="157">
        <f>IF(D93="","-",+C111+1)</f>
        <v>2019</v>
      </c>
      <c r="D112" s="158">
        <f>IF(F111+SUM(E$99:E111)=D$92,F111,D$92-SUM(E$99:E111))</f>
        <v>291335</v>
      </c>
      <c r="E112" s="165">
        <f>IF(+J96&lt;F111,J96,D112)</f>
        <v>9017</v>
      </c>
      <c r="F112" s="163">
        <f t="shared" si="27"/>
        <v>282318</v>
      </c>
      <c r="G112" s="163">
        <f t="shared" si="28"/>
        <v>286826.5</v>
      </c>
      <c r="H112" s="167">
        <f t="shared" si="29"/>
        <v>38484.283058480985</v>
      </c>
      <c r="I112" s="312">
        <f t="shared" si="30"/>
        <v>38484.283058480985</v>
      </c>
      <c r="J112" s="162">
        <f t="shared" si="17"/>
        <v>0</v>
      </c>
      <c r="K112" s="162"/>
      <c r="L112" s="330"/>
      <c r="M112" s="162">
        <f t="shared" si="21"/>
        <v>0</v>
      </c>
      <c r="N112" s="330"/>
      <c r="O112" s="162">
        <f t="shared" si="23"/>
        <v>0</v>
      </c>
      <c r="P112" s="162">
        <f t="shared" si="18"/>
        <v>0</v>
      </c>
    </row>
    <row r="113" spans="2:16">
      <c r="B113" s="9" t="str">
        <f t="shared" si="19"/>
        <v/>
      </c>
      <c r="C113" s="157">
        <f>IF(D93="","-",+C112+1)</f>
        <v>2020</v>
      </c>
      <c r="D113" s="158">
        <f>IF(F112+SUM(E$99:E112)=D$92,F112,D$92-SUM(E$99:E112))</f>
        <v>282318</v>
      </c>
      <c r="E113" s="165">
        <f>IF(+J96&lt;F112,J96,D113)</f>
        <v>9017</v>
      </c>
      <c r="F113" s="163">
        <f t="shared" si="27"/>
        <v>273301</v>
      </c>
      <c r="G113" s="163">
        <f t="shared" si="28"/>
        <v>277809.5</v>
      </c>
      <c r="H113" s="167">
        <f t="shared" si="29"/>
        <v>37557.916452402671</v>
      </c>
      <c r="I113" s="312">
        <f t="shared" si="30"/>
        <v>37557.916452402671</v>
      </c>
      <c r="J113" s="162">
        <f t="shared" si="17"/>
        <v>0</v>
      </c>
      <c r="K113" s="162"/>
      <c r="L113" s="330"/>
      <c r="M113" s="162">
        <f t="shared" si="21"/>
        <v>0</v>
      </c>
      <c r="N113" s="330"/>
      <c r="O113" s="162">
        <f t="shared" si="23"/>
        <v>0</v>
      </c>
      <c r="P113" s="162">
        <f t="shared" si="18"/>
        <v>0</v>
      </c>
    </row>
    <row r="114" spans="2:16">
      <c r="B114" s="9" t="str">
        <f t="shared" si="19"/>
        <v/>
      </c>
      <c r="C114" s="157">
        <f>IF(D93="","-",+C113+1)</f>
        <v>2021</v>
      </c>
      <c r="D114" s="158">
        <f>IF(F113+SUM(E$99:E113)=D$92,F113,D$92-SUM(E$99:E113))</f>
        <v>273301</v>
      </c>
      <c r="E114" s="165">
        <f>IF(+J96&lt;F113,J96,D114)</f>
        <v>9017</v>
      </c>
      <c r="F114" s="163">
        <f t="shared" si="27"/>
        <v>264284</v>
      </c>
      <c r="G114" s="163">
        <f t="shared" si="28"/>
        <v>268792.5</v>
      </c>
      <c r="H114" s="167">
        <f t="shared" si="29"/>
        <v>36631.549846324349</v>
      </c>
      <c r="I114" s="312">
        <f t="shared" si="30"/>
        <v>36631.549846324349</v>
      </c>
      <c r="J114" s="162">
        <f t="shared" si="17"/>
        <v>0</v>
      </c>
      <c r="K114" s="162"/>
      <c r="L114" s="330"/>
      <c r="M114" s="162">
        <f t="shared" si="21"/>
        <v>0</v>
      </c>
      <c r="N114" s="330"/>
      <c r="O114" s="162">
        <f t="shared" si="23"/>
        <v>0</v>
      </c>
      <c r="P114" s="162">
        <f t="shared" si="18"/>
        <v>0</v>
      </c>
    </row>
    <row r="115" spans="2:16">
      <c r="B115" s="9" t="str">
        <f t="shared" si="19"/>
        <v/>
      </c>
      <c r="C115" s="157">
        <f>IF(D93="","-",+C114+1)</f>
        <v>2022</v>
      </c>
      <c r="D115" s="158">
        <f>IF(F114+SUM(E$99:E114)=D$92,F114,D$92-SUM(E$99:E114))</f>
        <v>264284</v>
      </c>
      <c r="E115" s="165">
        <f>IF(+J96&lt;F114,J96,D115)</f>
        <v>9017</v>
      </c>
      <c r="F115" s="163">
        <f t="shared" si="27"/>
        <v>255267</v>
      </c>
      <c r="G115" s="163">
        <f t="shared" si="28"/>
        <v>259775.5</v>
      </c>
      <c r="H115" s="167">
        <f t="shared" si="29"/>
        <v>35705.183240246028</v>
      </c>
      <c r="I115" s="312">
        <f t="shared" si="30"/>
        <v>35705.183240246028</v>
      </c>
      <c r="J115" s="162">
        <f t="shared" si="17"/>
        <v>0</v>
      </c>
      <c r="K115" s="162"/>
      <c r="L115" s="330"/>
      <c r="M115" s="162">
        <f t="shared" si="21"/>
        <v>0</v>
      </c>
      <c r="N115" s="330"/>
      <c r="O115" s="162">
        <f t="shared" si="23"/>
        <v>0</v>
      </c>
      <c r="P115" s="162">
        <f t="shared" si="18"/>
        <v>0</v>
      </c>
    </row>
    <row r="116" spans="2:16">
      <c r="B116" s="9" t="str">
        <f t="shared" si="19"/>
        <v/>
      </c>
      <c r="C116" s="157">
        <f>IF(D93="","-",+C115+1)</f>
        <v>2023</v>
      </c>
      <c r="D116" s="158">
        <f>IF(F115+SUM(E$99:E115)=D$92,F115,D$92-SUM(E$99:E115))</f>
        <v>255267</v>
      </c>
      <c r="E116" s="165">
        <f>IF(+J96&lt;F115,J96,D116)</f>
        <v>9017</v>
      </c>
      <c r="F116" s="163">
        <f t="shared" si="27"/>
        <v>246250</v>
      </c>
      <c r="G116" s="163">
        <f t="shared" si="28"/>
        <v>250758.5</v>
      </c>
      <c r="H116" s="167">
        <f t="shared" si="29"/>
        <v>34778.816634167713</v>
      </c>
      <c r="I116" s="312">
        <f t="shared" si="30"/>
        <v>34778.816634167713</v>
      </c>
      <c r="J116" s="162">
        <f t="shared" si="17"/>
        <v>0</v>
      </c>
      <c r="K116" s="162"/>
      <c r="L116" s="330"/>
      <c r="M116" s="162">
        <f t="shared" si="21"/>
        <v>0</v>
      </c>
      <c r="N116" s="330"/>
      <c r="O116" s="162">
        <f t="shared" si="23"/>
        <v>0</v>
      </c>
      <c r="P116" s="162">
        <f t="shared" si="18"/>
        <v>0</v>
      </c>
    </row>
    <row r="117" spans="2:16">
      <c r="B117" s="9" t="str">
        <f t="shared" si="19"/>
        <v/>
      </c>
      <c r="C117" s="157">
        <f>IF(D93="","-",+C116+1)</f>
        <v>2024</v>
      </c>
      <c r="D117" s="158">
        <f>IF(F116+SUM(E$99:E116)=D$92,F116,D$92-SUM(E$99:E116))</f>
        <v>246250</v>
      </c>
      <c r="E117" s="165">
        <f>IF(+J96&lt;F116,J96,D117)</f>
        <v>9017</v>
      </c>
      <c r="F117" s="163">
        <f t="shared" si="27"/>
        <v>237233</v>
      </c>
      <c r="G117" s="163">
        <f t="shared" si="28"/>
        <v>241741.5</v>
      </c>
      <c r="H117" s="167">
        <f t="shared" si="29"/>
        <v>33852.450028089392</v>
      </c>
      <c r="I117" s="312">
        <f t="shared" si="30"/>
        <v>33852.450028089392</v>
      </c>
      <c r="J117" s="162">
        <f t="shared" si="17"/>
        <v>0</v>
      </c>
      <c r="K117" s="162"/>
      <c r="L117" s="330"/>
      <c r="M117" s="162">
        <f t="shared" si="21"/>
        <v>0</v>
      </c>
      <c r="N117" s="330"/>
      <c r="O117" s="162">
        <f t="shared" si="23"/>
        <v>0</v>
      </c>
      <c r="P117" s="162">
        <f t="shared" si="18"/>
        <v>0</v>
      </c>
    </row>
    <row r="118" spans="2:16">
      <c r="B118" s="9" t="str">
        <f t="shared" si="19"/>
        <v/>
      </c>
      <c r="C118" s="157">
        <f>IF(D93="","-",+C117+1)</f>
        <v>2025</v>
      </c>
      <c r="D118" s="158">
        <f>IF(F117+SUM(E$99:E117)=D$92,F117,D$92-SUM(E$99:E117))</f>
        <v>237233</v>
      </c>
      <c r="E118" s="165">
        <f>IF(+J96&lt;F117,J96,D118)</f>
        <v>9017</v>
      </c>
      <c r="F118" s="163">
        <f t="shared" si="27"/>
        <v>228216</v>
      </c>
      <c r="G118" s="163">
        <f t="shared" si="28"/>
        <v>232724.5</v>
      </c>
      <c r="H118" s="167">
        <f t="shared" si="29"/>
        <v>32926.08342201107</v>
      </c>
      <c r="I118" s="312">
        <f t="shared" si="30"/>
        <v>32926.08342201107</v>
      </c>
      <c r="J118" s="162">
        <f t="shared" si="17"/>
        <v>0</v>
      </c>
      <c r="K118" s="162"/>
      <c r="L118" s="330"/>
      <c r="M118" s="162">
        <f t="shared" si="21"/>
        <v>0</v>
      </c>
      <c r="N118" s="330"/>
      <c r="O118" s="162">
        <f t="shared" si="23"/>
        <v>0</v>
      </c>
      <c r="P118" s="162">
        <f t="shared" si="18"/>
        <v>0</v>
      </c>
    </row>
    <row r="119" spans="2:16">
      <c r="B119" s="9" t="str">
        <f t="shared" si="19"/>
        <v/>
      </c>
      <c r="C119" s="157">
        <f>IF(D93="","-",+C118+1)</f>
        <v>2026</v>
      </c>
      <c r="D119" s="158">
        <f>IF(F118+SUM(E$99:E118)=D$92,F118,D$92-SUM(E$99:E118))</f>
        <v>228216</v>
      </c>
      <c r="E119" s="165">
        <f>IF(+J96&lt;F118,J96,D119)</f>
        <v>9017</v>
      </c>
      <c r="F119" s="163">
        <f t="shared" si="27"/>
        <v>219199</v>
      </c>
      <c r="G119" s="163">
        <f t="shared" si="28"/>
        <v>223707.5</v>
      </c>
      <c r="H119" s="167">
        <f t="shared" si="29"/>
        <v>31999.716815932752</v>
      </c>
      <c r="I119" s="312">
        <f t="shared" si="30"/>
        <v>31999.716815932752</v>
      </c>
      <c r="J119" s="162">
        <f t="shared" si="17"/>
        <v>0</v>
      </c>
      <c r="K119" s="162"/>
      <c r="L119" s="330"/>
      <c r="M119" s="162">
        <f t="shared" si="21"/>
        <v>0</v>
      </c>
      <c r="N119" s="330"/>
      <c r="O119" s="162">
        <f t="shared" si="23"/>
        <v>0</v>
      </c>
      <c r="P119" s="162">
        <f t="shared" si="18"/>
        <v>0</v>
      </c>
    </row>
    <row r="120" spans="2:16">
      <c r="B120" s="9" t="str">
        <f t="shared" si="19"/>
        <v/>
      </c>
      <c r="C120" s="157">
        <f>IF(D93="","-",+C119+1)</f>
        <v>2027</v>
      </c>
      <c r="D120" s="158">
        <f>IF(F119+SUM(E$99:E119)=D$92,F119,D$92-SUM(E$99:E119))</f>
        <v>219199</v>
      </c>
      <c r="E120" s="165">
        <f>IF(+J96&lt;F119,J96,D120)</f>
        <v>9017</v>
      </c>
      <c r="F120" s="163">
        <f t="shared" si="27"/>
        <v>210182</v>
      </c>
      <c r="G120" s="163">
        <f t="shared" si="28"/>
        <v>214690.5</v>
      </c>
      <c r="H120" s="167">
        <f t="shared" si="29"/>
        <v>31073.350209854434</v>
      </c>
      <c r="I120" s="312">
        <f t="shared" si="30"/>
        <v>31073.350209854434</v>
      </c>
      <c r="J120" s="162">
        <f t="shared" si="17"/>
        <v>0</v>
      </c>
      <c r="K120" s="162"/>
      <c r="L120" s="330"/>
      <c r="M120" s="162">
        <f t="shared" si="21"/>
        <v>0</v>
      </c>
      <c r="N120" s="330"/>
      <c r="O120" s="162">
        <f t="shared" si="23"/>
        <v>0</v>
      </c>
      <c r="P120" s="162">
        <f t="shared" si="18"/>
        <v>0</v>
      </c>
    </row>
    <row r="121" spans="2:16">
      <c r="B121" s="9" t="str">
        <f t="shared" si="19"/>
        <v/>
      </c>
      <c r="C121" s="157">
        <f>IF(D93="","-",+C120+1)</f>
        <v>2028</v>
      </c>
      <c r="D121" s="158">
        <f>IF(F120+SUM(E$99:E120)=D$92,F120,D$92-SUM(E$99:E120))</f>
        <v>210182</v>
      </c>
      <c r="E121" s="165">
        <f>IF(+J96&lt;F120,J96,D121)</f>
        <v>9017</v>
      </c>
      <c r="F121" s="163">
        <f t="shared" si="27"/>
        <v>201165</v>
      </c>
      <c r="G121" s="163">
        <f t="shared" si="28"/>
        <v>205673.5</v>
      </c>
      <c r="H121" s="167">
        <f t="shared" si="29"/>
        <v>30146.983603776116</v>
      </c>
      <c r="I121" s="312">
        <f t="shared" si="30"/>
        <v>30146.983603776116</v>
      </c>
      <c r="J121" s="162">
        <f t="shared" si="17"/>
        <v>0</v>
      </c>
      <c r="K121" s="162"/>
      <c r="L121" s="330"/>
      <c r="M121" s="162">
        <f t="shared" si="21"/>
        <v>0</v>
      </c>
      <c r="N121" s="330"/>
      <c r="O121" s="162">
        <f t="shared" si="23"/>
        <v>0</v>
      </c>
      <c r="P121" s="162">
        <f t="shared" si="18"/>
        <v>0</v>
      </c>
    </row>
    <row r="122" spans="2:16">
      <c r="B122" s="9" t="str">
        <f t="shared" si="19"/>
        <v/>
      </c>
      <c r="C122" s="157">
        <f>IF(D93="","-",+C121+1)</f>
        <v>2029</v>
      </c>
      <c r="D122" s="158">
        <f>IF(F121+SUM(E$99:E121)=D$92,F121,D$92-SUM(E$99:E121))</f>
        <v>201165</v>
      </c>
      <c r="E122" s="165">
        <f>IF(+J96&lt;F121,J96,D122)</f>
        <v>9017</v>
      </c>
      <c r="F122" s="163">
        <f t="shared" si="27"/>
        <v>192148</v>
      </c>
      <c r="G122" s="163">
        <f t="shared" si="28"/>
        <v>196656.5</v>
      </c>
      <c r="H122" s="167">
        <f t="shared" si="29"/>
        <v>29220.616997697794</v>
      </c>
      <c r="I122" s="312">
        <f t="shared" si="30"/>
        <v>29220.616997697794</v>
      </c>
      <c r="J122" s="162">
        <f t="shared" si="17"/>
        <v>0</v>
      </c>
      <c r="K122" s="162"/>
      <c r="L122" s="330"/>
      <c r="M122" s="162">
        <f t="shared" si="21"/>
        <v>0</v>
      </c>
      <c r="N122" s="330"/>
      <c r="O122" s="162">
        <f t="shared" si="23"/>
        <v>0</v>
      </c>
      <c r="P122" s="162">
        <f t="shared" si="18"/>
        <v>0</v>
      </c>
    </row>
    <row r="123" spans="2:16">
      <c r="B123" s="9" t="str">
        <f t="shared" si="19"/>
        <v/>
      </c>
      <c r="C123" s="157">
        <f>IF(D93="","-",+C122+1)</f>
        <v>2030</v>
      </c>
      <c r="D123" s="158">
        <f>IF(F122+SUM(E$99:E122)=D$92,F122,D$92-SUM(E$99:E122))</f>
        <v>192148</v>
      </c>
      <c r="E123" s="165">
        <f>IF(+J96&lt;F122,J96,D123)</f>
        <v>9017</v>
      </c>
      <c r="F123" s="163">
        <f t="shared" si="27"/>
        <v>183131</v>
      </c>
      <c r="G123" s="163">
        <f t="shared" si="28"/>
        <v>187639.5</v>
      </c>
      <c r="H123" s="167">
        <f t="shared" si="29"/>
        <v>28294.250391619476</v>
      </c>
      <c r="I123" s="312">
        <f t="shared" si="30"/>
        <v>28294.250391619476</v>
      </c>
      <c r="J123" s="162">
        <f t="shared" si="17"/>
        <v>0</v>
      </c>
      <c r="K123" s="162"/>
      <c r="L123" s="330"/>
      <c r="M123" s="162">
        <f t="shared" si="21"/>
        <v>0</v>
      </c>
      <c r="N123" s="330"/>
      <c r="O123" s="162">
        <f t="shared" si="23"/>
        <v>0</v>
      </c>
      <c r="P123" s="162">
        <f t="shared" si="18"/>
        <v>0</v>
      </c>
    </row>
    <row r="124" spans="2:16">
      <c r="B124" s="9" t="str">
        <f t="shared" si="19"/>
        <v/>
      </c>
      <c r="C124" s="157">
        <f>IF(D93="","-",+C123+1)</f>
        <v>2031</v>
      </c>
      <c r="D124" s="158">
        <f>IF(F123+SUM(E$99:E123)=D$92,F123,D$92-SUM(E$99:E123))</f>
        <v>183131</v>
      </c>
      <c r="E124" s="165">
        <f>IF(+J96&lt;F123,J96,D124)</f>
        <v>9017</v>
      </c>
      <c r="F124" s="163">
        <f t="shared" si="27"/>
        <v>174114</v>
      </c>
      <c r="G124" s="163">
        <f t="shared" si="28"/>
        <v>178622.5</v>
      </c>
      <c r="H124" s="167">
        <f t="shared" si="29"/>
        <v>27367.883785541158</v>
      </c>
      <c r="I124" s="312">
        <f t="shared" si="30"/>
        <v>27367.883785541158</v>
      </c>
      <c r="J124" s="162">
        <f t="shared" si="17"/>
        <v>0</v>
      </c>
      <c r="K124" s="162"/>
      <c r="L124" s="330"/>
      <c r="M124" s="162">
        <f t="shared" si="21"/>
        <v>0</v>
      </c>
      <c r="N124" s="330"/>
      <c r="O124" s="162">
        <f t="shared" si="23"/>
        <v>0</v>
      </c>
      <c r="P124" s="162">
        <f t="shared" si="18"/>
        <v>0</v>
      </c>
    </row>
    <row r="125" spans="2:16">
      <c r="B125" s="9" t="str">
        <f t="shared" si="19"/>
        <v/>
      </c>
      <c r="C125" s="157">
        <f>IF(D93="","-",+C124+1)</f>
        <v>2032</v>
      </c>
      <c r="D125" s="158">
        <f>IF(F124+SUM(E$99:E124)=D$92,F124,D$92-SUM(E$99:E124))</f>
        <v>174114</v>
      </c>
      <c r="E125" s="165">
        <f>IF(+J96&lt;F124,J96,D125)</f>
        <v>9017</v>
      </c>
      <c r="F125" s="163">
        <f t="shared" si="27"/>
        <v>165097</v>
      </c>
      <c r="G125" s="163">
        <f t="shared" si="28"/>
        <v>169605.5</v>
      </c>
      <c r="H125" s="167">
        <f t="shared" si="29"/>
        <v>26441.517179462837</v>
      </c>
      <c r="I125" s="312">
        <f t="shared" si="30"/>
        <v>26441.517179462837</v>
      </c>
      <c r="J125" s="162">
        <f t="shared" si="17"/>
        <v>0</v>
      </c>
      <c r="K125" s="162"/>
      <c r="L125" s="330"/>
      <c r="M125" s="162">
        <f t="shared" si="21"/>
        <v>0</v>
      </c>
      <c r="N125" s="330"/>
      <c r="O125" s="162">
        <f t="shared" si="23"/>
        <v>0</v>
      </c>
      <c r="P125" s="162">
        <f t="shared" si="18"/>
        <v>0</v>
      </c>
    </row>
    <row r="126" spans="2:16">
      <c r="B126" s="9" t="str">
        <f t="shared" si="19"/>
        <v/>
      </c>
      <c r="C126" s="157">
        <f>IF(D93="","-",+C125+1)</f>
        <v>2033</v>
      </c>
      <c r="D126" s="158">
        <f>IF(F125+SUM(E$99:E125)=D$92,F125,D$92-SUM(E$99:E125))</f>
        <v>165097</v>
      </c>
      <c r="E126" s="165">
        <f>IF(+J96&lt;F125,J96,D126)</f>
        <v>9017</v>
      </c>
      <c r="F126" s="163">
        <f t="shared" si="27"/>
        <v>156080</v>
      </c>
      <c r="G126" s="163">
        <f t="shared" si="28"/>
        <v>160588.5</v>
      </c>
      <c r="H126" s="167">
        <f t="shared" si="29"/>
        <v>25515.150573384519</v>
      </c>
      <c r="I126" s="312">
        <f t="shared" si="30"/>
        <v>25515.150573384519</v>
      </c>
      <c r="J126" s="162">
        <f t="shared" si="17"/>
        <v>0</v>
      </c>
      <c r="K126" s="162"/>
      <c r="L126" s="330"/>
      <c r="M126" s="162">
        <f t="shared" si="21"/>
        <v>0</v>
      </c>
      <c r="N126" s="330"/>
      <c r="O126" s="162">
        <f t="shared" si="23"/>
        <v>0</v>
      </c>
      <c r="P126" s="162">
        <f t="shared" si="18"/>
        <v>0</v>
      </c>
    </row>
    <row r="127" spans="2:16">
      <c r="B127" s="9" t="str">
        <f t="shared" si="19"/>
        <v/>
      </c>
      <c r="C127" s="157">
        <f>IF(D93="","-",+C126+1)</f>
        <v>2034</v>
      </c>
      <c r="D127" s="158">
        <f>IF(F126+SUM(E$99:E126)=D$92,F126,D$92-SUM(E$99:E126))</f>
        <v>156080</v>
      </c>
      <c r="E127" s="165">
        <f>IF(+J96&lt;F126,J96,D127)</f>
        <v>9017</v>
      </c>
      <c r="F127" s="163">
        <f t="shared" si="27"/>
        <v>147063</v>
      </c>
      <c r="G127" s="163">
        <f t="shared" si="28"/>
        <v>151571.5</v>
      </c>
      <c r="H127" s="167">
        <f t="shared" si="29"/>
        <v>24588.783967306197</v>
      </c>
      <c r="I127" s="312">
        <f t="shared" si="30"/>
        <v>24588.783967306197</v>
      </c>
      <c r="J127" s="162">
        <f t="shared" si="17"/>
        <v>0</v>
      </c>
      <c r="K127" s="162"/>
      <c r="L127" s="330"/>
      <c r="M127" s="162">
        <f t="shared" si="21"/>
        <v>0</v>
      </c>
      <c r="N127" s="330"/>
      <c r="O127" s="162">
        <f t="shared" si="23"/>
        <v>0</v>
      </c>
      <c r="P127" s="162">
        <f t="shared" si="18"/>
        <v>0</v>
      </c>
    </row>
    <row r="128" spans="2:16">
      <c r="B128" s="9" t="str">
        <f t="shared" si="19"/>
        <v/>
      </c>
      <c r="C128" s="157">
        <f>IF(D93="","-",+C127+1)</f>
        <v>2035</v>
      </c>
      <c r="D128" s="158">
        <f>IF(F127+SUM(E$99:E127)=D$92,F127,D$92-SUM(E$99:E127))</f>
        <v>147063</v>
      </c>
      <c r="E128" s="165">
        <f>IF(+J96&lt;F127,J96,D128)</f>
        <v>9017</v>
      </c>
      <c r="F128" s="163">
        <f t="shared" si="27"/>
        <v>138046</v>
      </c>
      <c r="G128" s="163">
        <f t="shared" si="28"/>
        <v>142554.5</v>
      </c>
      <c r="H128" s="167">
        <f t="shared" si="29"/>
        <v>23662.417361227879</v>
      </c>
      <c r="I128" s="312">
        <f t="shared" si="30"/>
        <v>23662.417361227879</v>
      </c>
      <c r="J128" s="162">
        <f t="shared" si="17"/>
        <v>0</v>
      </c>
      <c r="K128" s="162"/>
      <c r="L128" s="330"/>
      <c r="M128" s="162">
        <f t="shared" si="21"/>
        <v>0</v>
      </c>
      <c r="N128" s="330"/>
      <c r="O128" s="162">
        <f t="shared" si="23"/>
        <v>0</v>
      </c>
      <c r="P128" s="162">
        <f t="shared" si="18"/>
        <v>0</v>
      </c>
    </row>
    <row r="129" spans="2:16">
      <c r="B129" s="9" t="str">
        <f t="shared" si="19"/>
        <v/>
      </c>
      <c r="C129" s="157">
        <f>IF(D93="","-",+C128+1)</f>
        <v>2036</v>
      </c>
      <c r="D129" s="158">
        <f>IF(F128+SUM(E$99:E128)=D$92,F128,D$92-SUM(E$99:E128))</f>
        <v>138046</v>
      </c>
      <c r="E129" s="165">
        <f>IF(+J96&lt;F128,J96,D129)</f>
        <v>9017</v>
      </c>
      <c r="F129" s="163">
        <f t="shared" si="27"/>
        <v>129029</v>
      </c>
      <c r="G129" s="163">
        <f t="shared" si="28"/>
        <v>133537.5</v>
      </c>
      <c r="H129" s="167">
        <f t="shared" si="29"/>
        <v>22736.050755149561</v>
      </c>
      <c r="I129" s="312">
        <f t="shared" si="30"/>
        <v>22736.050755149561</v>
      </c>
      <c r="J129" s="162">
        <f t="shared" si="17"/>
        <v>0</v>
      </c>
      <c r="K129" s="162"/>
      <c r="L129" s="330"/>
      <c r="M129" s="162">
        <f t="shared" si="21"/>
        <v>0</v>
      </c>
      <c r="N129" s="330"/>
      <c r="O129" s="162">
        <f t="shared" si="23"/>
        <v>0</v>
      </c>
      <c r="P129" s="162">
        <f t="shared" si="18"/>
        <v>0</v>
      </c>
    </row>
    <row r="130" spans="2:16">
      <c r="B130" s="9" t="str">
        <f t="shared" si="19"/>
        <v/>
      </c>
      <c r="C130" s="157">
        <f>IF(D93="","-",+C129+1)</f>
        <v>2037</v>
      </c>
      <c r="D130" s="158">
        <f>IF(F129+SUM(E$99:E129)=D$92,F129,D$92-SUM(E$99:E129))</f>
        <v>129029</v>
      </c>
      <c r="E130" s="165">
        <f>IF(+J96&lt;F129,J96,D130)</f>
        <v>9017</v>
      </c>
      <c r="F130" s="163">
        <f t="shared" si="27"/>
        <v>120012</v>
      </c>
      <c r="G130" s="163">
        <f t="shared" si="28"/>
        <v>124520.5</v>
      </c>
      <c r="H130" s="167">
        <f t="shared" si="29"/>
        <v>21809.68414907124</v>
      </c>
      <c r="I130" s="312">
        <f t="shared" si="30"/>
        <v>21809.68414907124</v>
      </c>
      <c r="J130" s="162">
        <f t="shared" si="17"/>
        <v>0</v>
      </c>
      <c r="K130" s="162"/>
      <c r="L130" s="330"/>
      <c r="M130" s="162">
        <f t="shared" si="21"/>
        <v>0</v>
      </c>
      <c r="N130" s="330"/>
      <c r="O130" s="162">
        <f t="shared" si="23"/>
        <v>0</v>
      </c>
      <c r="P130" s="162">
        <f t="shared" si="18"/>
        <v>0</v>
      </c>
    </row>
    <row r="131" spans="2:16">
      <c r="B131" s="9" t="str">
        <f t="shared" si="19"/>
        <v/>
      </c>
      <c r="C131" s="157">
        <f>IF(D93="","-",+C130+1)</f>
        <v>2038</v>
      </c>
      <c r="D131" s="158">
        <f>IF(F130+SUM(E$99:E130)=D$92,F130,D$92-SUM(E$99:E130))</f>
        <v>120012</v>
      </c>
      <c r="E131" s="165">
        <f>IF(+J96&lt;F130,J96,D131)</f>
        <v>9017</v>
      </c>
      <c r="F131" s="163">
        <f t="shared" ref="F131:F154" si="31">+D131-E131</f>
        <v>110995</v>
      </c>
      <c r="G131" s="163">
        <f t="shared" ref="G131:G154" si="32">+(F131+D131)/2</f>
        <v>115503.5</v>
      </c>
      <c r="H131" s="167">
        <f t="shared" si="29"/>
        <v>20883.317542992922</v>
      </c>
      <c r="I131" s="312">
        <f t="shared" si="30"/>
        <v>20883.317542992922</v>
      </c>
      <c r="J131" s="162">
        <f t="shared" ref="J131:J154" si="33">+I131-H131</f>
        <v>0</v>
      </c>
      <c r="K131" s="162"/>
      <c r="L131" s="330"/>
      <c r="M131" s="162">
        <f t="shared" si="21"/>
        <v>0</v>
      </c>
      <c r="N131" s="330"/>
      <c r="O131" s="162">
        <f t="shared" si="23"/>
        <v>0</v>
      </c>
      <c r="P131" s="162">
        <f t="shared" ref="P131:P154" si="34">+O131-M131</f>
        <v>0</v>
      </c>
    </row>
    <row r="132" spans="2:16">
      <c r="B132" s="9" t="str">
        <f t="shared" si="19"/>
        <v/>
      </c>
      <c r="C132" s="157">
        <f>IF(D93="","-",+C131+1)</f>
        <v>2039</v>
      </c>
      <c r="D132" s="158">
        <f>IF(F131+SUM(E$99:E131)=D$92,F131,D$92-SUM(E$99:E131))</f>
        <v>110995</v>
      </c>
      <c r="E132" s="165">
        <f>IF(+J96&lt;F131,J96,D132)</f>
        <v>9017</v>
      </c>
      <c r="F132" s="163">
        <f t="shared" si="31"/>
        <v>101978</v>
      </c>
      <c r="G132" s="163">
        <f t="shared" si="32"/>
        <v>106486.5</v>
      </c>
      <c r="H132" s="167">
        <f t="shared" si="29"/>
        <v>19956.950936914604</v>
      </c>
      <c r="I132" s="312">
        <f t="shared" si="30"/>
        <v>19956.950936914604</v>
      </c>
      <c r="J132" s="162">
        <f t="shared" si="33"/>
        <v>0</v>
      </c>
      <c r="K132" s="162"/>
      <c r="L132" s="330"/>
      <c r="M132" s="162">
        <f t="shared" si="21"/>
        <v>0</v>
      </c>
      <c r="N132" s="330"/>
      <c r="O132" s="162">
        <f t="shared" si="23"/>
        <v>0</v>
      </c>
      <c r="P132" s="162">
        <f t="shared" si="34"/>
        <v>0</v>
      </c>
    </row>
    <row r="133" spans="2:16">
      <c r="B133" s="9" t="str">
        <f t="shared" si="19"/>
        <v/>
      </c>
      <c r="C133" s="157">
        <f>IF(D93="","-",+C132+1)</f>
        <v>2040</v>
      </c>
      <c r="D133" s="158">
        <f>IF(F132+SUM(E$99:E132)=D$92,F132,D$92-SUM(E$99:E132))</f>
        <v>101978</v>
      </c>
      <c r="E133" s="165">
        <f>IF(+J96&lt;F132,J96,D133)</f>
        <v>9017</v>
      </c>
      <c r="F133" s="163">
        <f t="shared" si="31"/>
        <v>92961</v>
      </c>
      <c r="G133" s="163">
        <f t="shared" si="32"/>
        <v>97469.5</v>
      </c>
      <c r="H133" s="167">
        <f t="shared" si="29"/>
        <v>19030.584330836282</v>
      </c>
      <c r="I133" s="312">
        <f t="shared" si="30"/>
        <v>19030.584330836282</v>
      </c>
      <c r="J133" s="162">
        <f t="shared" si="33"/>
        <v>0</v>
      </c>
      <c r="K133" s="162"/>
      <c r="L133" s="330"/>
      <c r="M133" s="162">
        <f t="shared" si="21"/>
        <v>0</v>
      </c>
      <c r="N133" s="330"/>
      <c r="O133" s="162">
        <f t="shared" si="23"/>
        <v>0</v>
      </c>
      <c r="P133" s="162">
        <f t="shared" si="34"/>
        <v>0</v>
      </c>
    </row>
    <row r="134" spans="2:16">
      <c r="B134" s="9" t="str">
        <f t="shared" si="19"/>
        <v/>
      </c>
      <c r="C134" s="157">
        <f>IF(D93="","-",+C133+1)</f>
        <v>2041</v>
      </c>
      <c r="D134" s="158">
        <f>IF(F133+SUM(E$99:E133)=D$92,F133,D$92-SUM(E$99:E133))</f>
        <v>92961</v>
      </c>
      <c r="E134" s="165">
        <f>IF(+J96&lt;F133,J96,D134)</f>
        <v>9017</v>
      </c>
      <c r="F134" s="163">
        <f t="shared" si="31"/>
        <v>83944</v>
      </c>
      <c r="G134" s="163">
        <f t="shared" si="32"/>
        <v>88452.5</v>
      </c>
      <c r="H134" s="167">
        <f t="shared" si="29"/>
        <v>18104.21772475796</v>
      </c>
      <c r="I134" s="312">
        <f t="shared" si="30"/>
        <v>18104.21772475796</v>
      </c>
      <c r="J134" s="162">
        <f t="shared" si="33"/>
        <v>0</v>
      </c>
      <c r="K134" s="162"/>
      <c r="L134" s="330"/>
      <c r="M134" s="162">
        <f t="shared" ref="M134:M154" si="35">IF(L134&lt;&gt;0,+H134-L134,0)</f>
        <v>0</v>
      </c>
      <c r="N134" s="330"/>
      <c r="O134" s="162">
        <f t="shared" ref="O134:O154" si="36">IF(N134&lt;&gt;0,+I134-N134,0)</f>
        <v>0</v>
      </c>
      <c r="P134" s="162">
        <f t="shared" si="34"/>
        <v>0</v>
      </c>
    </row>
    <row r="135" spans="2:16">
      <c r="B135" s="9" t="str">
        <f t="shared" si="19"/>
        <v/>
      </c>
      <c r="C135" s="157">
        <f>IF(D93="","-",+C134+1)</f>
        <v>2042</v>
      </c>
      <c r="D135" s="158">
        <f>IF(F134+SUM(E$99:E134)=D$92,F134,D$92-SUM(E$99:E134))</f>
        <v>83944</v>
      </c>
      <c r="E135" s="165">
        <f>IF(+J96&lt;F134,J96,D135)</f>
        <v>9017</v>
      </c>
      <c r="F135" s="163">
        <f t="shared" si="31"/>
        <v>74927</v>
      </c>
      <c r="G135" s="163">
        <f t="shared" si="32"/>
        <v>79435.5</v>
      </c>
      <c r="H135" s="167">
        <f t="shared" si="29"/>
        <v>17177.851118679642</v>
      </c>
      <c r="I135" s="312">
        <f t="shared" si="30"/>
        <v>17177.851118679642</v>
      </c>
      <c r="J135" s="162">
        <f t="shared" si="33"/>
        <v>0</v>
      </c>
      <c r="K135" s="162"/>
      <c r="L135" s="330"/>
      <c r="M135" s="162">
        <f t="shared" si="35"/>
        <v>0</v>
      </c>
      <c r="N135" s="330"/>
      <c r="O135" s="162">
        <f t="shared" si="36"/>
        <v>0</v>
      </c>
      <c r="P135" s="162">
        <f t="shared" si="34"/>
        <v>0</v>
      </c>
    </row>
    <row r="136" spans="2:16">
      <c r="B136" s="9" t="str">
        <f t="shared" si="19"/>
        <v/>
      </c>
      <c r="C136" s="157">
        <f>IF(D93="","-",+C135+1)</f>
        <v>2043</v>
      </c>
      <c r="D136" s="158">
        <f>IF(F135+SUM(E$99:E135)=D$92,F135,D$92-SUM(E$99:E135))</f>
        <v>74927</v>
      </c>
      <c r="E136" s="165">
        <f>IF(+J96&lt;F135,J96,D136)</f>
        <v>9017</v>
      </c>
      <c r="F136" s="163">
        <f t="shared" si="31"/>
        <v>65910</v>
      </c>
      <c r="G136" s="163">
        <f t="shared" si="32"/>
        <v>70418.5</v>
      </c>
      <c r="H136" s="167">
        <f t="shared" si="29"/>
        <v>16251.484512601324</v>
      </c>
      <c r="I136" s="312">
        <f t="shared" si="30"/>
        <v>16251.484512601324</v>
      </c>
      <c r="J136" s="162">
        <f t="shared" si="33"/>
        <v>0</v>
      </c>
      <c r="K136" s="162"/>
      <c r="L136" s="330"/>
      <c r="M136" s="162">
        <f t="shared" si="35"/>
        <v>0</v>
      </c>
      <c r="N136" s="330"/>
      <c r="O136" s="162">
        <f t="shared" si="36"/>
        <v>0</v>
      </c>
      <c r="P136" s="162">
        <f t="shared" si="34"/>
        <v>0</v>
      </c>
    </row>
    <row r="137" spans="2:16">
      <c r="B137" s="9" t="str">
        <f t="shared" si="19"/>
        <v/>
      </c>
      <c r="C137" s="157">
        <f>IF(D93="","-",+C136+1)</f>
        <v>2044</v>
      </c>
      <c r="D137" s="158">
        <f>IF(F136+SUM(E$99:E136)=D$92,F136,D$92-SUM(E$99:E136))</f>
        <v>65910</v>
      </c>
      <c r="E137" s="165">
        <f>IF(+J96&lt;F136,J96,D137)</f>
        <v>9017</v>
      </c>
      <c r="F137" s="163">
        <f t="shared" si="31"/>
        <v>56893</v>
      </c>
      <c r="G137" s="163">
        <f t="shared" si="32"/>
        <v>61401.5</v>
      </c>
      <c r="H137" s="167">
        <f t="shared" si="29"/>
        <v>15325.117906523004</v>
      </c>
      <c r="I137" s="312">
        <f t="shared" si="30"/>
        <v>15325.117906523004</v>
      </c>
      <c r="J137" s="162">
        <f t="shared" si="33"/>
        <v>0</v>
      </c>
      <c r="K137" s="162"/>
      <c r="L137" s="330"/>
      <c r="M137" s="162">
        <f t="shared" si="35"/>
        <v>0</v>
      </c>
      <c r="N137" s="330"/>
      <c r="O137" s="162">
        <f t="shared" si="36"/>
        <v>0</v>
      </c>
      <c r="P137" s="162">
        <f t="shared" si="34"/>
        <v>0</v>
      </c>
    </row>
    <row r="138" spans="2:16">
      <c r="B138" s="9" t="str">
        <f t="shared" si="19"/>
        <v/>
      </c>
      <c r="C138" s="157">
        <f>IF(D93="","-",+C137+1)</f>
        <v>2045</v>
      </c>
      <c r="D138" s="158">
        <f>IF(F137+SUM(E$99:E137)=D$92,F137,D$92-SUM(E$99:E137))</f>
        <v>56893</v>
      </c>
      <c r="E138" s="165">
        <f>IF(+J96&lt;F137,J96,D138)</f>
        <v>9017</v>
      </c>
      <c r="F138" s="163">
        <f t="shared" si="31"/>
        <v>47876</v>
      </c>
      <c r="G138" s="163">
        <f t="shared" si="32"/>
        <v>52384.5</v>
      </c>
      <c r="H138" s="167">
        <f t="shared" si="29"/>
        <v>14398.751300444685</v>
      </c>
      <c r="I138" s="312">
        <f t="shared" si="30"/>
        <v>14398.751300444685</v>
      </c>
      <c r="J138" s="162">
        <f t="shared" si="33"/>
        <v>0</v>
      </c>
      <c r="K138" s="162"/>
      <c r="L138" s="330"/>
      <c r="M138" s="162">
        <f t="shared" si="35"/>
        <v>0</v>
      </c>
      <c r="N138" s="330"/>
      <c r="O138" s="162">
        <f t="shared" si="36"/>
        <v>0</v>
      </c>
      <c r="P138" s="162">
        <f t="shared" si="34"/>
        <v>0</v>
      </c>
    </row>
    <row r="139" spans="2:16">
      <c r="B139" s="9" t="str">
        <f t="shared" si="19"/>
        <v/>
      </c>
      <c r="C139" s="157">
        <f>IF(D93="","-",+C138+1)</f>
        <v>2046</v>
      </c>
      <c r="D139" s="158">
        <f>IF(F138+SUM(E$99:E138)=D$92,F138,D$92-SUM(E$99:E138))</f>
        <v>47876</v>
      </c>
      <c r="E139" s="165">
        <f>IF(+J96&lt;F138,J96,D139)</f>
        <v>9017</v>
      </c>
      <c r="F139" s="163">
        <f t="shared" si="31"/>
        <v>38859</v>
      </c>
      <c r="G139" s="163">
        <f t="shared" si="32"/>
        <v>43367.5</v>
      </c>
      <c r="H139" s="167">
        <f t="shared" si="29"/>
        <v>13472.384694366367</v>
      </c>
      <c r="I139" s="312">
        <f t="shared" si="30"/>
        <v>13472.384694366367</v>
      </c>
      <c r="J139" s="162">
        <f t="shared" si="33"/>
        <v>0</v>
      </c>
      <c r="K139" s="162"/>
      <c r="L139" s="330"/>
      <c r="M139" s="162">
        <f t="shared" si="35"/>
        <v>0</v>
      </c>
      <c r="N139" s="330"/>
      <c r="O139" s="162">
        <f t="shared" si="36"/>
        <v>0</v>
      </c>
      <c r="P139" s="162">
        <f t="shared" si="34"/>
        <v>0</v>
      </c>
    </row>
    <row r="140" spans="2:16">
      <c r="B140" s="9" t="str">
        <f t="shared" si="19"/>
        <v/>
      </c>
      <c r="C140" s="157">
        <f>IF(D93="","-",+C139+1)</f>
        <v>2047</v>
      </c>
      <c r="D140" s="158">
        <f>IF(F139+SUM(E$99:E139)=D$92,F139,D$92-SUM(E$99:E139))</f>
        <v>38859</v>
      </c>
      <c r="E140" s="165">
        <f>IF(+J96&lt;F139,J96,D140)</f>
        <v>9017</v>
      </c>
      <c r="F140" s="163">
        <f t="shared" si="31"/>
        <v>29842</v>
      </c>
      <c r="G140" s="163">
        <f t="shared" si="32"/>
        <v>34350.5</v>
      </c>
      <c r="H140" s="167">
        <f t="shared" si="29"/>
        <v>12546.018088288045</v>
      </c>
      <c r="I140" s="312">
        <f t="shared" si="30"/>
        <v>12546.018088288045</v>
      </c>
      <c r="J140" s="162">
        <f t="shared" si="33"/>
        <v>0</v>
      </c>
      <c r="K140" s="162"/>
      <c r="L140" s="330"/>
      <c r="M140" s="162">
        <f t="shared" si="35"/>
        <v>0</v>
      </c>
      <c r="N140" s="330"/>
      <c r="O140" s="162">
        <f t="shared" si="36"/>
        <v>0</v>
      </c>
      <c r="P140" s="162">
        <f t="shared" si="34"/>
        <v>0</v>
      </c>
    </row>
    <row r="141" spans="2:16">
      <c r="B141" s="9" t="str">
        <f t="shared" si="19"/>
        <v/>
      </c>
      <c r="C141" s="157">
        <f>IF(D93="","-",+C140+1)</f>
        <v>2048</v>
      </c>
      <c r="D141" s="158">
        <f>IF(F140+SUM(E$99:E140)=D$92,F140,D$92-SUM(E$99:E140))</f>
        <v>29842</v>
      </c>
      <c r="E141" s="165">
        <f>IF(+J96&lt;F140,J96,D141)</f>
        <v>9017</v>
      </c>
      <c r="F141" s="163">
        <f t="shared" si="31"/>
        <v>20825</v>
      </c>
      <c r="G141" s="163">
        <f t="shared" si="32"/>
        <v>25333.5</v>
      </c>
      <c r="H141" s="167">
        <f t="shared" si="29"/>
        <v>11619.651482209727</v>
      </c>
      <c r="I141" s="312">
        <f t="shared" si="30"/>
        <v>11619.651482209727</v>
      </c>
      <c r="J141" s="162">
        <f t="shared" si="33"/>
        <v>0</v>
      </c>
      <c r="K141" s="162"/>
      <c r="L141" s="330"/>
      <c r="M141" s="162">
        <f t="shared" si="35"/>
        <v>0</v>
      </c>
      <c r="N141" s="330"/>
      <c r="O141" s="162">
        <f t="shared" si="36"/>
        <v>0</v>
      </c>
      <c r="P141" s="162">
        <f t="shared" si="34"/>
        <v>0</v>
      </c>
    </row>
    <row r="142" spans="2:16">
      <c r="B142" s="9" t="str">
        <f t="shared" si="19"/>
        <v/>
      </c>
      <c r="C142" s="157">
        <f>IF(D93="","-",+C141+1)</f>
        <v>2049</v>
      </c>
      <c r="D142" s="158">
        <f>IF(F141+SUM(E$99:E141)=D$92,F141,D$92-SUM(E$99:E141))</f>
        <v>20825</v>
      </c>
      <c r="E142" s="165">
        <f>IF(+J96&lt;F141,J96,D142)</f>
        <v>9017</v>
      </c>
      <c r="F142" s="163">
        <f t="shared" si="31"/>
        <v>11808</v>
      </c>
      <c r="G142" s="163">
        <f t="shared" si="32"/>
        <v>16316.5</v>
      </c>
      <c r="H142" s="167">
        <f t="shared" si="29"/>
        <v>10693.284876131407</v>
      </c>
      <c r="I142" s="312">
        <f t="shared" si="30"/>
        <v>10693.284876131407</v>
      </c>
      <c r="J142" s="162">
        <f t="shared" si="33"/>
        <v>0</v>
      </c>
      <c r="K142" s="162"/>
      <c r="L142" s="330"/>
      <c r="M142" s="162">
        <f t="shared" si="35"/>
        <v>0</v>
      </c>
      <c r="N142" s="330"/>
      <c r="O142" s="162">
        <f t="shared" si="36"/>
        <v>0</v>
      </c>
      <c r="P142" s="162">
        <f t="shared" si="34"/>
        <v>0</v>
      </c>
    </row>
    <row r="143" spans="2:16">
      <c r="B143" s="9" t="str">
        <f t="shared" si="19"/>
        <v/>
      </c>
      <c r="C143" s="157">
        <f>IF(D93="","-",+C142+1)</f>
        <v>2050</v>
      </c>
      <c r="D143" s="158">
        <f>IF(F142+SUM(E$99:E142)=D$92,F142,D$92-SUM(E$99:E142))</f>
        <v>11808</v>
      </c>
      <c r="E143" s="165">
        <f>IF(+J96&lt;F142,J96,D143)</f>
        <v>9017</v>
      </c>
      <c r="F143" s="163">
        <f t="shared" si="31"/>
        <v>2791</v>
      </c>
      <c r="G143" s="163">
        <f t="shared" si="32"/>
        <v>7299.5</v>
      </c>
      <c r="H143" s="167">
        <f t="shared" si="29"/>
        <v>9766.9182700530873</v>
      </c>
      <c r="I143" s="312">
        <f t="shared" si="30"/>
        <v>9766.9182700530873</v>
      </c>
      <c r="J143" s="162">
        <f t="shared" si="33"/>
        <v>0</v>
      </c>
      <c r="K143" s="162"/>
      <c r="L143" s="330"/>
      <c r="M143" s="162">
        <f t="shared" si="35"/>
        <v>0</v>
      </c>
      <c r="N143" s="330"/>
      <c r="O143" s="162">
        <f t="shared" si="36"/>
        <v>0</v>
      </c>
      <c r="P143" s="162">
        <f t="shared" si="34"/>
        <v>0</v>
      </c>
    </row>
    <row r="144" spans="2:16">
      <c r="B144" s="9" t="str">
        <f t="shared" si="19"/>
        <v/>
      </c>
      <c r="C144" s="157">
        <f>IF(D93="","-",+C143+1)</f>
        <v>2051</v>
      </c>
      <c r="D144" s="158">
        <f>IF(F143+SUM(E$99:E143)=D$92,F143,D$92-SUM(E$99:E143))</f>
        <v>2791</v>
      </c>
      <c r="E144" s="165">
        <f>IF(+J96&lt;F143,J96,D144)</f>
        <v>2791</v>
      </c>
      <c r="F144" s="163">
        <f t="shared" si="31"/>
        <v>0</v>
      </c>
      <c r="G144" s="163">
        <f t="shared" si="32"/>
        <v>1395.5</v>
      </c>
      <c r="H144" s="167">
        <f t="shared" si="29"/>
        <v>2934.3674835069642</v>
      </c>
      <c r="I144" s="312">
        <f t="shared" si="30"/>
        <v>2934.3674835069642</v>
      </c>
      <c r="J144" s="162">
        <f t="shared" si="33"/>
        <v>0</v>
      </c>
      <c r="K144" s="162"/>
      <c r="L144" s="330"/>
      <c r="M144" s="162">
        <f t="shared" si="35"/>
        <v>0</v>
      </c>
      <c r="N144" s="330"/>
      <c r="O144" s="162">
        <f t="shared" si="36"/>
        <v>0</v>
      </c>
      <c r="P144" s="162">
        <f t="shared" si="34"/>
        <v>0</v>
      </c>
    </row>
    <row r="145" spans="2:16">
      <c r="B145" s="9" t="str">
        <f t="shared" si="19"/>
        <v/>
      </c>
      <c r="C145" s="157">
        <f>IF(D93="","-",+C144+1)</f>
        <v>2052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1"/>
        <v>0</v>
      </c>
      <c r="G145" s="163">
        <f t="shared" si="32"/>
        <v>0</v>
      </c>
      <c r="H145" s="167">
        <f t="shared" si="29"/>
        <v>0</v>
      </c>
      <c r="I145" s="312">
        <f t="shared" si="30"/>
        <v>0</v>
      </c>
      <c r="J145" s="162">
        <f t="shared" si="33"/>
        <v>0</v>
      </c>
      <c r="K145" s="162"/>
      <c r="L145" s="330"/>
      <c r="M145" s="162">
        <f t="shared" si="35"/>
        <v>0</v>
      </c>
      <c r="N145" s="330"/>
      <c r="O145" s="162">
        <f t="shared" si="36"/>
        <v>0</v>
      </c>
      <c r="P145" s="162">
        <f t="shared" si="34"/>
        <v>0</v>
      </c>
    </row>
    <row r="146" spans="2:16">
      <c r="B146" s="9" t="str">
        <f t="shared" si="19"/>
        <v/>
      </c>
      <c r="C146" s="157">
        <f>IF(D93="","-",+C145+1)</f>
        <v>2053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1"/>
        <v>0</v>
      </c>
      <c r="G146" s="163">
        <f t="shared" si="32"/>
        <v>0</v>
      </c>
      <c r="H146" s="167">
        <f t="shared" si="29"/>
        <v>0</v>
      </c>
      <c r="I146" s="312">
        <f t="shared" si="30"/>
        <v>0</v>
      </c>
      <c r="J146" s="162">
        <f t="shared" si="33"/>
        <v>0</v>
      </c>
      <c r="K146" s="162"/>
      <c r="L146" s="330"/>
      <c r="M146" s="162">
        <f t="shared" si="35"/>
        <v>0</v>
      </c>
      <c r="N146" s="330"/>
      <c r="O146" s="162">
        <f t="shared" si="36"/>
        <v>0</v>
      </c>
      <c r="P146" s="162">
        <f t="shared" si="34"/>
        <v>0</v>
      </c>
    </row>
    <row r="147" spans="2:16">
      <c r="B147" s="9" t="str">
        <f t="shared" si="19"/>
        <v/>
      </c>
      <c r="C147" s="157">
        <f>IF(D93="","-",+C146+1)</f>
        <v>2054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1"/>
        <v>0</v>
      </c>
      <c r="G147" s="163">
        <f t="shared" si="32"/>
        <v>0</v>
      </c>
      <c r="H147" s="167">
        <f t="shared" si="29"/>
        <v>0</v>
      </c>
      <c r="I147" s="312">
        <f t="shared" si="30"/>
        <v>0</v>
      </c>
      <c r="J147" s="162">
        <f t="shared" si="33"/>
        <v>0</v>
      </c>
      <c r="K147" s="162"/>
      <c r="L147" s="330"/>
      <c r="M147" s="162">
        <f t="shared" si="35"/>
        <v>0</v>
      </c>
      <c r="N147" s="330"/>
      <c r="O147" s="162">
        <f t="shared" si="36"/>
        <v>0</v>
      </c>
      <c r="P147" s="162">
        <f t="shared" si="34"/>
        <v>0</v>
      </c>
    </row>
    <row r="148" spans="2:16">
      <c r="B148" s="9" t="str">
        <f t="shared" si="19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1"/>
        <v>0</v>
      </c>
      <c r="G148" s="163">
        <f t="shared" si="32"/>
        <v>0</v>
      </c>
      <c r="H148" s="167">
        <f t="shared" si="29"/>
        <v>0</v>
      </c>
      <c r="I148" s="312">
        <f t="shared" si="30"/>
        <v>0</v>
      </c>
      <c r="J148" s="162">
        <f t="shared" si="33"/>
        <v>0</v>
      </c>
      <c r="K148" s="162"/>
      <c r="L148" s="330"/>
      <c r="M148" s="162">
        <f t="shared" si="35"/>
        <v>0</v>
      </c>
      <c r="N148" s="330"/>
      <c r="O148" s="162">
        <f t="shared" si="36"/>
        <v>0</v>
      </c>
      <c r="P148" s="162">
        <f t="shared" si="34"/>
        <v>0</v>
      </c>
    </row>
    <row r="149" spans="2:16">
      <c r="B149" s="9" t="str">
        <f t="shared" si="19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1"/>
        <v>0</v>
      </c>
      <c r="G149" s="163">
        <f t="shared" si="32"/>
        <v>0</v>
      </c>
      <c r="H149" s="167">
        <f t="shared" si="29"/>
        <v>0</v>
      </c>
      <c r="I149" s="312">
        <f t="shared" si="30"/>
        <v>0</v>
      </c>
      <c r="J149" s="162">
        <f t="shared" si="33"/>
        <v>0</v>
      </c>
      <c r="K149" s="162"/>
      <c r="L149" s="330"/>
      <c r="M149" s="162">
        <f t="shared" si="35"/>
        <v>0</v>
      </c>
      <c r="N149" s="330"/>
      <c r="O149" s="162">
        <f t="shared" si="36"/>
        <v>0</v>
      </c>
      <c r="P149" s="162">
        <f t="shared" si="34"/>
        <v>0</v>
      </c>
    </row>
    <row r="150" spans="2:16">
      <c r="B150" s="9" t="str">
        <f t="shared" si="19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1"/>
        <v>0</v>
      </c>
      <c r="G150" s="163">
        <f t="shared" si="32"/>
        <v>0</v>
      </c>
      <c r="H150" s="167">
        <f t="shared" si="29"/>
        <v>0</v>
      </c>
      <c r="I150" s="312">
        <f t="shared" si="30"/>
        <v>0</v>
      </c>
      <c r="J150" s="162">
        <f t="shared" si="33"/>
        <v>0</v>
      </c>
      <c r="K150" s="162"/>
      <c r="L150" s="330"/>
      <c r="M150" s="162">
        <f t="shared" si="35"/>
        <v>0</v>
      </c>
      <c r="N150" s="330"/>
      <c r="O150" s="162">
        <f t="shared" si="36"/>
        <v>0</v>
      </c>
      <c r="P150" s="162">
        <f t="shared" si="34"/>
        <v>0</v>
      </c>
    </row>
    <row r="151" spans="2:16">
      <c r="B151" s="9" t="str">
        <f t="shared" si="19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1"/>
        <v>0</v>
      </c>
      <c r="G151" s="163">
        <f t="shared" si="32"/>
        <v>0</v>
      </c>
      <c r="H151" s="167">
        <f t="shared" si="29"/>
        <v>0</v>
      </c>
      <c r="I151" s="312">
        <f t="shared" si="30"/>
        <v>0</v>
      </c>
      <c r="J151" s="162">
        <f t="shared" si="33"/>
        <v>0</v>
      </c>
      <c r="K151" s="162"/>
      <c r="L151" s="330"/>
      <c r="M151" s="162">
        <f t="shared" si="35"/>
        <v>0</v>
      </c>
      <c r="N151" s="330"/>
      <c r="O151" s="162">
        <f t="shared" si="36"/>
        <v>0</v>
      </c>
      <c r="P151" s="162">
        <f t="shared" si="34"/>
        <v>0</v>
      </c>
    </row>
    <row r="152" spans="2:16">
      <c r="B152" s="9" t="str">
        <f t="shared" si="19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1"/>
        <v>0</v>
      </c>
      <c r="G152" s="163">
        <f t="shared" si="32"/>
        <v>0</v>
      </c>
      <c r="H152" s="167">
        <f t="shared" si="29"/>
        <v>0</v>
      </c>
      <c r="I152" s="312">
        <f t="shared" si="30"/>
        <v>0</v>
      </c>
      <c r="J152" s="162">
        <f t="shared" si="33"/>
        <v>0</v>
      </c>
      <c r="K152" s="162"/>
      <c r="L152" s="330"/>
      <c r="M152" s="162">
        <f t="shared" si="35"/>
        <v>0</v>
      </c>
      <c r="N152" s="330"/>
      <c r="O152" s="162">
        <f t="shared" si="36"/>
        <v>0</v>
      </c>
      <c r="P152" s="162">
        <f t="shared" si="34"/>
        <v>0</v>
      </c>
    </row>
    <row r="153" spans="2:16">
      <c r="B153" s="9" t="str">
        <f t="shared" si="19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1"/>
        <v>0</v>
      </c>
      <c r="G153" s="163">
        <f t="shared" si="32"/>
        <v>0</v>
      </c>
      <c r="H153" s="167">
        <f t="shared" si="29"/>
        <v>0</v>
      </c>
      <c r="I153" s="312">
        <f t="shared" si="30"/>
        <v>0</v>
      </c>
      <c r="J153" s="162">
        <f t="shared" si="33"/>
        <v>0</v>
      </c>
      <c r="K153" s="162"/>
      <c r="L153" s="330"/>
      <c r="M153" s="162">
        <f t="shared" si="35"/>
        <v>0</v>
      </c>
      <c r="N153" s="330"/>
      <c r="O153" s="162">
        <f t="shared" si="36"/>
        <v>0</v>
      </c>
      <c r="P153" s="162">
        <f t="shared" si="34"/>
        <v>0</v>
      </c>
    </row>
    <row r="154" spans="2:16" ht="13.5" thickBot="1">
      <c r="B154" s="9" t="str">
        <f t="shared" si="19"/>
        <v/>
      </c>
      <c r="C154" s="168">
        <f>IF(D93="","-",+C153+1)</f>
        <v>2061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31"/>
        <v>0</v>
      </c>
      <c r="G154" s="169">
        <f t="shared" si="32"/>
        <v>0</v>
      </c>
      <c r="H154" s="171">
        <f t="shared" si="29"/>
        <v>0</v>
      </c>
      <c r="I154" s="313">
        <f t="shared" si="30"/>
        <v>0</v>
      </c>
      <c r="J154" s="173">
        <f t="shared" si="33"/>
        <v>0</v>
      </c>
      <c r="K154" s="162"/>
      <c r="L154" s="331"/>
      <c r="M154" s="173">
        <f t="shared" si="35"/>
        <v>0</v>
      </c>
      <c r="N154" s="331"/>
      <c r="O154" s="173">
        <f t="shared" si="36"/>
        <v>0</v>
      </c>
      <c r="P154" s="173">
        <f t="shared" si="34"/>
        <v>0</v>
      </c>
    </row>
    <row r="155" spans="2:16">
      <c r="C155" s="158" t="s">
        <v>77</v>
      </c>
      <c r="D155" s="115"/>
      <c r="E155" s="115">
        <f>SUM(E99:E154)</f>
        <v>387742</v>
      </c>
      <c r="F155" s="115"/>
      <c r="G155" s="115"/>
      <c r="H155" s="115">
        <f>SUM(H99:H154)</f>
        <v>1442832.5857878914</v>
      </c>
      <c r="I155" s="115">
        <f>SUM(I99:I154)</f>
        <v>1442832.5857878914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148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view="pageBreakPreview" zoomScale="75" zoomScaleNormal="100" workbookViewId="0">
      <selection activeCell="D27" sqref="D27:H2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49" t="s">
        <v>147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5" t="str">
        <f ca="1">"PSO Project "&amp;RIGHT(MID(CELL("filename",$A$1),FIND("]",CELL("filename",$A$1))+1,256),1)&amp;" of "&amp;COUNT('P.001:P.xyz - blank'!$P$3)-1</f>
        <v>PSO Project 6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6" t="s">
        <v>150</v>
      </c>
    </row>
    <row r="3" spans="1:16" ht="18.75">
      <c r="B3" s="5" t="s">
        <v>42</v>
      </c>
      <c r="C3" s="71" t="s">
        <v>43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6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44</v>
      </c>
      <c r="D5" s="2"/>
      <c r="E5" s="1"/>
      <c r="F5" s="1"/>
      <c r="G5" s="117"/>
      <c r="H5" s="1" t="s">
        <v>45</v>
      </c>
      <c r="I5" s="1"/>
      <c r="J5" s="4"/>
      <c r="K5" s="118" t="s">
        <v>284</v>
      </c>
      <c r="L5" s="119"/>
      <c r="M5" s="120"/>
      <c r="N5" s="121">
        <f>VLOOKUP(I10,C17:I72,5)</f>
        <v>196553.85018087178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285</v>
      </c>
      <c r="L6" s="125"/>
      <c r="M6" s="4"/>
      <c r="N6" s="126">
        <f>VLOOKUP(I10,C17:I72,6)</f>
        <v>196553.85018087178</v>
      </c>
      <c r="O6" s="1"/>
      <c r="P6" s="1"/>
    </row>
    <row r="7" spans="1:16" ht="13.5" thickBot="1">
      <c r="C7" s="127" t="s">
        <v>46</v>
      </c>
      <c r="D7" s="267" t="s">
        <v>84</v>
      </c>
      <c r="E7" s="1"/>
      <c r="F7" s="1"/>
      <c r="G7" s="1"/>
      <c r="H7" s="3"/>
      <c r="I7" s="3"/>
      <c r="J7" s="115"/>
      <c r="K7" s="128" t="s">
        <v>47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3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48</v>
      </c>
      <c r="D9" s="229" t="s">
        <v>85</v>
      </c>
      <c r="E9" s="134"/>
      <c r="F9" s="134"/>
      <c r="G9" s="134"/>
      <c r="H9" s="134"/>
      <c r="I9" s="135"/>
      <c r="J9" s="136"/>
      <c r="O9" s="137"/>
      <c r="P9" s="4"/>
    </row>
    <row r="10" spans="1:16">
      <c r="C10" s="371" t="s">
        <v>226</v>
      </c>
      <c r="D10" s="138">
        <v>1520502</v>
      </c>
      <c r="E10" s="64" t="s">
        <v>51</v>
      </c>
      <c r="F10" s="137"/>
      <c r="G10" s="139"/>
      <c r="H10" s="139"/>
      <c r="I10" s="140">
        <f>+PSO.WS.F.BPU.ATRR.Projected!L19</f>
        <v>2018</v>
      </c>
      <c r="J10" s="136"/>
      <c r="K10" s="115" t="s">
        <v>52</v>
      </c>
      <c r="O10" s="4"/>
      <c r="P10" s="4"/>
    </row>
    <row r="11" spans="1:16">
      <c r="C11" s="141" t="s">
        <v>53</v>
      </c>
      <c r="D11" s="142">
        <v>2008</v>
      </c>
      <c r="E11" s="141" t="s">
        <v>54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55</v>
      </c>
      <c r="D12" s="138">
        <v>4</v>
      </c>
      <c r="E12" s="141" t="s">
        <v>56</v>
      </c>
      <c r="F12" s="139"/>
      <c r="G12" s="7"/>
      <c r="H12" s="7"/>
      <c r="I12" s="145">
        <f>PSO.WS.F.BPU.ATRR.Projected!$F$81</f>
        <v>0.13533541013261485</v>
      </c>
      <c r="J12" s="146"/>
      <c r="K12" t="s">
        <v>57</v>
      </c>
      <c r="O12" s="4"/>
      <c r="P12" s="4"/>
    </row>
    <row r="13" spans="1:16">
      <c r="C13" s="141" t="s">
        <v>58</v>
      </c>
      <c r="D13" s="143">
        <f>+PSO.WS.F.BPU.ATRR.Projected!F$93</f>
        <v>45</v>
      </c>
      <c r="E13" s="141" t="s">
        <v>59</v>
      </c>
      <c r="F13" s="139"/>
      <c r="G13" s="7"/>
      <c r="H13" s="7"/>
      <c r="I13" s="145">
        <f>IF(G5="",I12,PSO.WS.F.BPU.ATRR.Projected!$F$80)</f>
        <v>0.13533541013261485</v>
      </c>
      <c r="J13" s="146"/>
      <c r="K13" s="115" t="s">
        <v>60</v>
      </c>
      <c r="L13" s="61"/>
      <c r="M13" s="61"/>
      <c r="N13" s="61"/>
      <c r="O13" s="4"/>
      <c r="P13" s="4"/>
    </row>
    <row r="14" spans="1:16" ht="13.5" thickBot="1">
      <c r="C14" s="141" t="s">
        <v>61</v>
      </c>
      <c r="D14" s="142" t="s">
        <v>62</v>
      </c>
      <c r="E14" s="4" t="s">
        <v>63</v>
      </c>
      <c r="F14" s="139"/>
      <c r="G14" s="7"/>
      <c r="H14" s="7"/>
      <c r="I14" s="147">
        <f>IF(D10=0,0,D10/D13)</f>
        <v>33788.933333333334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50</v>
      </c>
      <c r="D15" s="149" t="s">
        <v>64</v>
      </c>
      <c r="E15" s="149" t="s">
        <v>65</v>
      </c>
      <c r="F15" s="149" t="s">
        <v>66</v>
      </c>
      <c r="G15" s="356" t="s">
        <v>286</v>
      </c>
      <c r="H15" s="357" t="s">
        <v>287</v>
      </c>
      <c r="I15" s="148" t="s">
        <v>67</v>
      </c>
      <c r="J15" s="150"/>
      <c r="K15" s="334" t="s">
        <v>205</v>
      </c>
      <c r="L15" s="335" t="s">
        <v>68</v>
      </c>
      <c r="M15" s="334" t="s">
        <v>205</v>
      </c>
      <c r="N15" s="335" t="s">
        <v>68</v>
      </c>
      <c r="O15" s="151" t="s">
        <v>69</v>
      </c>
      <c r="P15" s="4"/>
    </row>
    <row r="16" spans="1:16" ht="13.5" thickBot="1">
      <c r="C16" s="152" t="s">
        <v>70</v>
      </c>
      <c r="D16" s="152" t="s">
        <v>71</v>
      </c>
      <c r="E16" s="152" t="s">
        <v>72</v>
      </c>
      <c r="F16" s="152" t="s">
        <v>71</v>
      </c>
      <c r="G16" s="315" t="s">
        <v>73</v>
      </c>
      <c r="H16" s="153" t="s">
        <v>74</v>
      </c>
      <c r="I16" s="154" t="s">
        <v>104</v>
      </c>
      <c r="J16" s="155" t="s">
        <v>75</v>
      </c>
      <c r="K16" s="156" t="s">
        <v>76</v>
      </c>
      <c r="L16" s="336" t="s">
        <v>76</v>
      </c>
      <c r="M16" s="156" t="s">
        <v>105</v>
      </c>
      <c r="N16" s="337" t="s">
        <v>105</v>
      </c>
      <c r="O16" s="156" t="s">
        <v>105</v>
      </c>
      <c r="P16" s="4"/>
    </row>
    <row r="17" spans="2:16">
      <c r="B17" s="9"/>
      <c r="C17" s="157">
        <f>IF(D11= "","-",D11)</f>
        <v>2008</v>
      </c>
      <c r="D17" s="361">
        <v>1520473</v>
      </c>
      <c r="E17" s="362">
        <v>19125</v>
      </c>
      <c r="F17" s="361">
        <v>1501348</v>
      </c>
      <c r="G17" s="362">
        <v>0</v>
      </c>
      <c r="H17" s="365">
        <v>0</v>
      </c>
      <c r="I17" s="160">
        <f t="shared" ref="I17:I48" si="0">H17-G17</f>
        <v>0</v>
      </c>
      <c r="J17" s="160"/>
      <c r="K17" s="332">
        <v>0</v>
      </c>
      <c r="L17" s="161">
        <f t="shared" ref="L17:L48" si="1">IF(K17&lt;&gt;0,+G17-K17,0)</f>
        <v>0</v>
      </c>
      <c r="M17" s="332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2009</v>
      </c>
      <c r="D18" s="366">
        <v>1501348</v>
      </c>
      <c r="E18" s="363">
        <v>28688</v>
      </c>
      <c r="F18" s="366">
        <v>1472660</v>
      </c>
      <c r="G18" s="363">
        <v>254309</v>
      </c>
      <c r="H18" s="365">
        <v>254309</v>
      </c>
      <c r="I18" s="160">
        <f t="shared" si="0"/>
        <v>0</v>
      </c>
      <c r="J18" s="160"/>
      <c r="K18" s="333">
        <v>254309</v>
      </c>
      <c r="L18" s="162">
        <f t="shared" si="1"/>
        <v>0</v>
      </c>
      <c r="M18" s="333">
        <v>254309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66">
        <v>1472689</v>
      </c>
      <c r="E19" s="363">
        <v>27151.821428571428</v>
      </c>
      <c r="F19" s="366">
        <v>1445537.1785714286</v>
      </c>
      <c r="G19" s="363">
        <v>235737.79751815079</v>
      </c>
      <c r="H19" s="365">
        <v>235737.79751815079</v>
      </c>
      <c r="I19" s="160">
        <f t="shared" si="0"/>
        <v>0</v>
      </c>
      <c r="J19" s="160"/>
      <c r="K19" s="375">
        <f t="shared" ref="K19:K24" si="4">G19</f>
        <v>235737.79751815079</v>
      </c>
      <c r="L19" s="376">
        <f t="shared" si="1"/>
        <v>0</v>
      </c>
      <c r="M19" s="375">
        <f t="shared" ref="M19:M24" si="5">H19</f>
        <v>235737.79751815079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2011</v>
      </c>
      <c r="D20" s="366">
        <v>1445537.1785714286</v>
      </c>
      <c r="E20" s="363">
        <v>29813.764705882353</v>
      </c>
      <c r="F20" s="366">
        <v>1415723.4138655462</v>
      </c>
      <c r="G20" s="363">
        <v>251435.83921239444</v>
      </c>
      <c r="H20" s="365">
        <v>251435.83921239444</v>
      </c>
      <c r="I20" s="160">
        <f t="shared" si="0"/>
        <v>0</v>
      </c>
      <c r="J20" s="160"/>
      <c r="K20" s="333">
        <f t="shared" si="4"/>
        <v>251435.83921239444</v>
      </c>
      <c r="L20" s="269">
        <f t="shared" si="1"/>
        <v>0</v>
      </c>
      <c r="M20" s="333">
        <f t="shared" si="5"/>
        <v>251435.83921239444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IF(D11="","-",+C20+1)</f>
        <v>2012</v>
      </c>
      <c r="D21" s="366">
        <v>1415723.4138655462</v>
      </c>
      <c r="E21" s="363">
        <v>29240.423076923078</v>
      </c>
      <c r="F21" s="366">
        <v>1386482.9907886232</v>
      </c>
      <c r="G21" s="363">
        <v>222248.1918516063</v>
      </c>
      <c r="H21" s="365">
        <v>222248.1918516063</v>
      </c>
      <c r="I21" s="160">
        <f t="shared" si="0"/>
        <v>0</v>
      </c>
      <c r="J21" s="160"/>
      <c r="K21" s="333">
        <f t="shared" si="4"/>
        <v>222248.1918516063</v>
      </c>
      <c r="L21" s="269">
        <f t="shared" si="1"/>
        <v>0</v>
      </c>
      <c r="M21" s="333">
        <f t="shared" si="5"/>
        <v>222248.1918516063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66">
        <v>1386482.9907886232</v>
      </c>
      <c r="E22" s="363">
        <v>29240.423076923078</v>
      </c>
      <c r="F22" s="366">
        <v>1357242.5677117002</v>
      </c>
      <c r="G22" s="363">
        <v>223063.83719618269</v>
      </c>
      <c r="H22" s="365">
        <v>223063.83719618269</v>
      </c>
      <c r="I22" s="160">
        <v>0</v>
      </c>
      <c r="J22" s="160"/>
      <c r="K22" s="333">
        <f t="shared" si="4"/>
        <v>223063.83719618269</v>
      </c>
      <c r="L22" s="269">
        <f t="shared" ref="L22:L27" si="7">IF(K22&lt;&gt;0,+G22-K22,0)</f>
        <v>0</v>
      </c>
      <c r="M22" s="333">
        <f t="shared" si="5"/>
        <v>223063.83719618269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66">
        <v>1357242.5677117002</v>
      </c>
      <c r="E23" s="363">
        <v>29240.423076923078</v>
      </c>
      <c r="F23" s="366">
        <v>1328002.1446347772</v>
      </c>
      <c r="G23" s="363">
        <v>212051.56179808528</v>
      </c>
      <c r="H23" s="365">
        <v>212051.56179808528</v>
      </c>
      <c r="I23" s="160">
        <v>0</v>
      </c>
      <c r="J23" s="160"/>
      <c r="K23" s="333">
        <f t="shared" si="4"/>
        <v>212051.56179808528</v>
      </c>
      <c r="L23" s="269">
        <f t="shared" si="7"/>
        <v>0</v>
      </c>
      <c r="M23" s="333">
        <f t="shared" si="5"/>
        <v>212051.56179808528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66">
        <v>1328002.1446347772</v>
      </c>
      <c r="E24" s="363">
        <v>29240.423076923078</v>
      </c>
      <c r="F24" s="366">
        <v>1298761.7215578542</v>
      </c>
      <c r="G24" s="363">
        <v>208302.85337289202</v>
      </c>
      <c r="H24" s="365">
        <v>208302.85337289202</v>
      </c>
      <c r="I24" s="160">
        <v>0</v>
      </c>
      <c r="J24" s="160"/>
      <c r="K24" s="333">
        <f t="shared" si="4"/>
        <v>208302.85337289202</v>
      </c>
      <c r="L24" s="269">
        <f t="shared" si="7"/>
        <v>0</v>
      </c>
      <c r="M24" s="333">
        <f t="shared" si="5"/>
        <v>208302.85337289202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66">
        <v>1298761.7215578542</v>
      </c>
      <c r="E25" s="363">
        <v>29240.423076923078</v>
      </c>
      <c r="F25" s="366">
        <v>1269521.2984809312</v>
      </c>
      <c r="G25" s="363">
        <v>195750.37197477801</v>
      </c>
      <c r="H25" s="365">
        <v>195750.37197477801</v>
      </c>
      <c r="I25" s="160">
        <f t="shared" si="0"/>
        <v>0</v>
      </c>
      <c r="J25" s="160"/>
      <c r="K25" s="333">
        <f>G25</f>
        <v>195750.37197477801</v>
      </c>
      <c r="L25" s="269">
        <f t="shared" si="7"/>
        <v>0</v>
      </c>
      <c r="M25" s="333">
        <f>H25</f>
        <v>195750.37197477801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66">
        <v>1269521.2984809312</v>
      </c>
      <c r="E26" s="363">
        <v>33054.391304347824</v>
      </c>
      <c r="F26" s="366">
        <v>1236466.9071765833</v>
      </c>
      <c r="G26" s="363">
        <v>190407.97943741584</v>
      </c>
      <c r="H26" s="365">
        <v>190407.97943741584</v>
      </c>
      <c r="I26" s="160">
        <f t="shared" si="0"/>
        <v>0</v>
      </c>
      <c r="J26" s="160"/>
      <c r="K26" s="333">
        <f>G26</f>
        <v>190407.97943741584</v>
      </c>
      <c r="L26" s="269">
        <f t="shared" si="7"/>
        <v>0</v>
      </c>
      <c r="M26" s="333">
        <f>H26</f>
        <v>190407.97943741584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66">
        <v>1236466.9071765833</v>
      </c>
      <c r="E27" s="363">
        <v>33788.933333333334</v>
      </c>
      <c r="F27" s="366">
        <v>1202677.97384325</v>
      </c>
      <c r="G27" s="363">
        <v>196553.85018087178</v>
      </c>
      <c r="H27" s="365">
        <v>196553.85018087178</v>
      </c>
      <c r="I27" s="160">
        <f t="shared" si="0"/>
        <v>0</v>
      </c>
      <c r="J27" s="160"/>
      <c r="K27" s="333">
        <f>G27</f>
        <v>196553.85018087178</v>
      </c>
      <c r="L27" s="269">
        <f t="shared" si="7"/>
        <v>0</v>
      </c>
      <c r="M27" s="333">
        <f>H27</f>
        <v>196553.85018087178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163">
        <f>IF(F27+SUM(E$17:E27)=D$10,F27,D$10-SUM(E$17:E27))</f>
        <v>1202677.97384325</v>
      </c>
      <c r="E28" s="164">
        <f>IF(+I14&lt;F27,I14,D28)</f>
        <v>33788.933333333334</v>
      </c>
      <c r="F28" s="163">
        <f t="shared" ref="F28:F48" si="10">+D28-E28</f>
        <v>1168889.0405099166</v>
      </c>
      <c r="G28" s="165">
        <f t="shared" ref="G28:G72" si="11">+I$12*F28+E28</f>
        <v>191981.01103026158</v>
      </c>
      <c r="H28" s="147">
        <f t="shared" ref="H28:H72" si="12">+I$13*F28+E28</f>
        <v>191981.01103026158</v>
      </c>
      <c r="I28" s="160">
        <f t="shared" si="0"/>
        <v>0</v>
      </c>
      <c r="J28" s="160"/>
      <c r="K28" s="330"/>
      <c r="L28" s="162">
        <f t="shared" si="1"/>
        <v>0</v>
      </c>
      <c r="M28" s="330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1168889.0405099166</v>
      </c>
      <c r="E29" s="164">
        <f>IF(+I14&lt;F28,I14,D29)</f>
        <v>33788.933333333334</v>
      </c>
      <c r="F29" s="163">
        <f t="shared" si="10"/>
        <v>1135100.1071765833</v>
      </c>
      <c r="G29" s="165">
        <f t="shared" si="11"/>
        <v>187408.17187965132</v>
      </c>
      <c r="H29" s="147">
        <f t="shared" si="12"/>
        <v>187408.17187965132</v>
      </c>
      <c r="I29" s="160">
        <f t="shared" si="0"/>
        <v>0</v>
      </c>
      <c r="J29" s="160"/>
      <c r="K29" s="330"/>
      <c r="L29" s="162">
        <f t="shared" si="1"/>
        <v>0</v>
      </c>
      <c r="M29" s="330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1135100.1071765833</v>
      </c>
      <c r="E30" s="164">
        <f>IF(+I14&lt;F29,I14,D30)</f>
        <v>33788.933333333334</v>
      </c>
      <c r="F30" s="163">
        <f t="shared" si="10"/>
        <v>1101311.1738432499</v>
      </c>
      <c r="G30" s="165">
        <f t="shared" si="11"/>
        <v>182835.33272904105</v>
      </c>
      <c r="H30" s="147">
        <f t="shared" si="12"/>
        <v>182835.33272904105</v>
      </c>
      <c r="I30" s="160">
        <f t="shared" si="0"/>
        <v>0</v>
      </c>
      <c r="J30" s="160"/>
      <c r="K30" s="330"/>
      <c r="L30" s="162">
        <f t="shared" si="1"/>
        <v>0</v>
      </c>
      <c r="M30" s="330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1101311.1738432499</v>
      </c>
      <c r="E31" s="164">
        <f>IF(+I14&lt;F30,I14,D31)</f>
        <v>33788.933333333334</v>
      </c>
      <c r="F31" s="163">
        <f t="shared" si="10"/>
        <v>1067522.2405099166</v>
      </c>
      <c r="G31" s="165">
        <f t="shared" si="11"/>
        <v>178262.49357843079</v>
      </c>
      <c r="H31" s="147">
        <f t="shared" si="12"/>
        <v>178262.49357843079</v>
      </c>
      <c r="I31" s="160">
        <f t="shared" si="0"/>
        <v>0</v>
      </c>
      <c r="J31" s="160"/>
      <c r="K31" s="330"/>
      <c r="L31" s="162">
        <f t="shared" si="1"/>
        <v>0</v>
      </c>
      <c r="M31" s="330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1067522.2405099166</v>
      </c>
      <c r="E32" s="164">
        <f>IF(+I14&lt;F31,I14,D32)</f>
        <v>33788.933333333334</v>
      </c>
      <c r="F32" s="163">
        <f t="shared" si="10"/>
        <v>1033733.3071765832</v>
      </c>
      <c r="G32" s="165">
        <f t="shared" si="11"/>
        <v>173689.65442782058</v>
      </c>
      <c r="H32" s="147">
        <f t="shared" si="12"/>
        <v>173689.65442782058</v>
      </c>
      <c r="I32" s="160">
        <f t="shared" si="0"/>
        <v>0</v>
      </c>
      <c r="J32" s="160"/>
      <c r="K32" s="330"/>
      <c r="L32" s="162">
        <f t="shared" si="1"/>
        <v>0</v>
      </c>
      <c r="M32" s="330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1033733.3071765832</v>
      </c>
      <c r="E33" s="164">
        <f>IF(+I14&lt;F32,I14,D33)</f>
        <v>33788.933333333334</v>
      </c>
      <c r="F33" s="163">
        <f t="shared" si="10"/>
        <v>999944.37384324986</v>
      </c>
      <c r="G33" s="165">
        <f t="shared" si="11"/>
        <v>169116.81527721032</v>
      </c>
      <c r="H33" s="147">
        <f t="shared" si="12"/>
        <v>169116.81527721032</v>
      </c>
      <c r="I33" s="160">
        <f t="shared" si="0"/>
        <v>0</v>
      </c>
      <c r="J33" s="160"/>
      <c r="K33" s="330"/>
      <c r="L33" s="162">
        <f t="shared" si="1"/>
        <v>0</v>
      </c>
      <c r="M33" s="330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999944.37384324986</v>
      </c>
      <c r="E34" s="164">
        <f>IF(+I14&lt;F33,I14,D34)</f>
        <v>33788.933333333334</v>
      </c>
      <c r="F34" s="163">
        <f t="shared" si="10"/>
        <v>966155.44050991652</v>
      </c>
      <c r="G34" s="165">
        <f t="shared" si="11"/>
        <v>164543.97612660006</v>
      </c>
      <c r="H34" s="147">
        <f t="shared" si="12"/>
        <v>164543.97612660006</v>
      </c>
      <c r="I34" s="160">
        <f t="shared" si="0"/>
        <v>0</v>
      </c>
      <c r="J34" s="160"/>
      <c r="K34" s="330"/>
      <c r="L34" s="162">
        <f t="shared" si="1"/>
        <v>0</v>
      </c>
      <c r="M34" s="330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966155.44050991652</v>
      </c>
      <c r="E35" s="164">
        <f>IF(+I14&lt;F34,I14,D35)</f>
        <v>33788.933333333334</v>
      </c>
      <c r="F35" s="163">
        <f t="shared" si="10"/>
        <v>932366.50717658317</v>
      </c>
      <c r="G35" s="165">
        <f t="shared" si="11"/>
        <v>159971.13697598979</v>
      </c>
      <c r="H35" s="147">
        <f t="shared" si="12"/>
        <v>159971.13697598979</v>
      </c>
      <c r="I35" s="160">
        <f t="shared" si="0"/>
        <v>0</v>
      </c>
      <c r="J35" s="160"/>
      <c r="K35" s="330"/>
      <c r="L35" s="162">
        <f t="shared" si="1"/>
        <v>0</v>
      </c>
      <c r="M35" s="330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932366.50717658317</v>
      </c>
      <c r="E36" s="164">
        <f>IF(+I14&lt;F35,I14,D36)</f>
        <v>33788.933333333334</v>
      </c>
      <c r="F36" s="163">
        <f t="shared" si="10"/>
        <v>898577.57384324982</v>
      </c>
      <c r="G36" s="165">
        <f t="shared" si="11"/>
        <v>155398.29782537956</v>
      </c>
      <c r="H36" s="147">
        <f t="shared" si="12"/>
        <v>155398.29782537956</v>
      </c>
      <c r="I36" s="160">
        <f t="shared" si="0"/>
        <v>0</v>
      </c>
      <c r="J36" s="160"/>
      <c r="K36" s="330"/>
      <c r="L36" s="162">
        <f t="shared" si="1"/>
        <v>0</v>
      </c>
      <c r="M36" s="330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898577.57384324982</v>
      </c>
      <c r="E37" s="164">
        <f>IF(+I14&lt;F36,I14,D37)</f>
        <v>33788.933333333334</v>
      </c>
      <c r="F37" s="163">
        <f t="shared" si="10"/>
        <v>864788.64050991647</v>
      </c>
      <c r="G37" s="165">
        <f t="shared" si="11"/>
        <v>150825.45867476932</v>
      </c>
      <c r="H37" s="147">
        <f t="shared" si="12"/>
        <v>150825.45867476932</v>
      </c>
      <c r="I37" s="160">
        <f t="shared" si="0"/>
        <v>0</v>
      </c>
      <c r="J37" s="160"/>
      <c r="K37" s="330"/>
      <c r="L37" s="162">
        <f t="shared" si="1"/>
        <v>0</v>
      </c>
      <c r="M37" s="330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864788.64050991647</v>
      </c>
      <c r="E38" s="164">
        <f>IF(+I14&lt;F37,I14,D38)</f>
        <v>33788.933333333334</v>
      </c>
      <c r="F38" s="163">
        <f t="shared" si="10"/>
        <v>830999.70717658312</v>
      </c>
      <c r="G38" s="165">
        <f t="shared" si="11"/>
        <v>146252.61952415906</v>
      </c>
      <c r="H38" s="147">
        <f t="shared" si="12"/>
        <v>146252.61952415906</v>
      </c>
      <c r="I38" s="160">
        <f t="shared" si="0"/>
        <v>0</v>
      </c>
      <c r="J38" s="160"/>
      <c r="K38" s="330"/>
      <c r="L38" s="162">
        <f t="shared" si="1"/>
        <v>0</v>
      </c>
      <c r="M38" s="330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830999.70717658312</v>
      </c>
      <c r="E39" s="164">
        <f>IF(+I14&lt;F38,I14,D39)</f>
        <v>33788.933333333334</v>
      </c>
      <c r="F39" s="163">
        <f t="shared" si="10"/>
        <v>797210.77384324977</v>
      </c>
      <c r="G39" s="165">
        <f t="shared" si="11"/>
        <v>141679.7803735488</v>
      </c>
      <c r="H39" s="147">
        <f t="shared" si="12"/>
        <v>141679.7803735488</v>
      </c>
      <c r="I39" s="160">
        <f t="shared" si="0"/>
        <v>0</v>
      </c>
      <c r="J39" s="160"/>
      <c r="K39" s="330"/>
      <c r="L39" s="162">
        <f t="shared" si="1"/>
        <v>0</v>
      </c>
      <c r="M39" s="330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797210.77384324977</v>
      </c>
      <c r="E40" s="164">
        <f>IF(+I14&lt;F39,I14,D40)</f>
        <v>33788.933333333334</v>
      </c>
      <c r="F40" s="163">
        <f t="shared" si="10"/>
        <v>763421.84050991642</v>
      </c>
      <c r="G40" s="165">
        <f t="shared" si="11"/>
        <v>137106.94122293856</v>
      </c>
      <c r="H40" s="147">
        <f t="shared" si="12"/>
        <v>137106.94122293856</v>
      </c>
      <c r="I40" s="160">
        <f t="shared" si="0"/>
        <v>0</v>
      </c>
      <c r="J40" s="160"/>
      <c r="K40" s="330"/>
      <c r="L40" s="162">
        <f t="shared" si="1"/>
        <v>0</v>
      </c>
      <c r="M40" s="330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763421.84050991642</v>
      </c>
      <c r="E41" s="164">
        <f>IF(+I14&lt;F40,I14,D41)</f>
        <v>33788.933333333334</v>
      </c>
      <c r="F41" s="163">
        <f t="shared" si="10"/>
        <v>729632.90717658307</v>
      </c>
      <c r="G41" s="165">
        <f t="shared" si="11"/>
        <v>132534.10207232833</v>
      </c>
      <c r="H41" s="147">
        <f t="shared" si="12"/>
        <v>132534.10207232833</v>
      </c>
      <c r="I41" s="160">
        <f t="shared" si="0"/>
        <v>0</v>
      </c>
      <c r="J41" s="160"/>
      <c r="K41" s="330"/>
      <c r="L41" s="162">
        <f t="shared" si="1"/>
        <v>0</v>
      </c>
      <c r="M41" s="330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729632.90717658307</v>
      </c>
      <c r="E42" s="164">
        <f>IF(+I14&lt;F41,I14,D42)</f>
        <v>33788.933333333334</v>
      </c>
      <c r="F42" s="163">
        <f t="shared" si="10"/>
        <v>695843.97384324973</v>
      </c>
      <c r="G42" s="165">
        <f t="shared" si="11"/>
        <v>127961.26292171805</v>
      </c>
      <c r="H42" s="147">
        <f t="shared" si="12"/>
        <v>127961.26292171805</v>
      </c>
      <c r="I42" s="160">
        <f t="shared" si="0"/>
        <v>0</v>
      </c>
      <c r="J42" s="160"/>
      <c r="K42" s="330"/>
      <c r="L42" s="162">
        <f t="shared" si="1"/>
        <v>0</v>
      </c>
      <c r="M42" s="330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695843.97384324973</v>
      </c>
      <c r="E43" s="164">
        <f>IF(+I14&lt;F42,I14,D43)</f>
        <v>33788.933333333334</v>
      </c>
      <c r="F43" s="163">
        <f t="shared" si="10"/>
        <v>662055.04050991638</v>
      </c>
      <c r="G43" s="165">
        <f t="shared" si="11"/>
        <v>123388.4237711078</v>
      </c>
      <c r="H43" s="147">
        <f t="shared" si="12"/>
        <v>123388.4237711078</v>
      </c>
      <c r="I43" s="160">
        <f t="shared" si="0"/>
        <v>0</v>
      </c>
      <c r="J43" s="160"/>
      <c r="K43" s="330"/>
      <c r="L43" s="162">
        <f t="shared" si="1"/>
        <v>0</v>
      </c>
      <c r="M43" s="330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662055.04050991638</v>
      </c>
      <c r="E44" s="164">
        <f>IF(+I14&lt;F43,I14,D44)</f>
        <v>33788.933333333334</v>
      </c>
      <c r="F44" s="163">
        <f t="shared" si="10"/>
        <v>628266.10717658303</v>
      </c>
      <c r="G44" s="165">
        <f t="shared" si="11"/>
        <v>118815.58462049755</v>
      </c>
      <c r="H44" s="147">
        <f t="shared" si="12"/>
        <v>118815.58462049755</v>
      </c>
      <c r="I44" s="160">
        <f t="shared" si="0"/>
        <v>0</v>
      </c>
      <c r="J44" s="160"/>
      <c r="K44" s="330"/>
      <c r="L44" s="162">
        <f t="shared" si="1"/>
        <v>0</v>
      </c>
      <c r="M44" s="330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628266.10717658303</v>
      </c>
      <c r="E45" s="164">
        <f>IF(+I14&lt;F44,I14,D45)</f>
        <v>33788.933333333334</v>
      </c>
      <c r="F45" s="163">
        <f t="shared" si="10"/>
        <v>594477.17384324968</v>
      </c>
      <c r="G45" s="165">
        <f t="shared" si="11"/>
        <v>114242.7454698873</v>
      </c>
      <c r="H45" s="147">
        <f t="shared" si="12"/>
        <v>114242.7454698873</v>
      </c>
      <c r="I45" s="160">
        <f t="shared" si="0"/>
        <v>0</v>
      </c>
      <c r="J45" s="160"/>
      <c r="K45" s="330"/>
      <c r="L45" s="162">
        <f t="shared" si="1"/>
        <v>0</v>
      </c>
      <c r="M45" s="330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594477.17384324968</v>
      </c>
      <c r="E46" s="164">
        <f>IF(+I14&lt;F45,I14,D46)</f>
        <v>33788.933333333334</v>
      </c>
      <c r="F46" s="163">
        <f t="shared" si="10"/>
        <v>560688.24050991633</v>
      </c>
      <c r="G46" s="165">
        <f t="shared" si="11"/>
        <v>109669.90631927706</v>
      </c>
      <c r="H46" s="147">
        <f t="shared" si="12"/>
        <v>109669.90631927706</v>
      </c>
      <c r="I46" s="160">
        <f t="shared" si="0"/>
        <v>0</v>
      </c>
      <c r="J46" s="160"/>
      <c r="K46" s="330"/>
      <c r="L46" s="162">
        <f t="shared" si="1"/>
        <v>0</v>
      </c>
      <c r="M46" s="330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560688.24050991633</v>
      </c>
      <c r="E47" s="164">
        <f>IF(+I14&lt;F46,I14,D47)</f>
        <v>33788.933333333334</v>
      </c>
      <c r="F47" s="163">
        <f t="shared" si="10"/>
        <v>526899.30717658298</v>
      </c>
      <c r="G47" s="165">
        <f t="shared" si="11"/>
        <v>105097.06716866681</v>
      </c>
      <c r="H47" s="147">
        <f t="shared" si="12"/>
        <v>105097.06716866681</v>
      </c>
      <c r="I47" s="160">
        <f t="shared" si="0"/>
        <v>0</v>
      </c>
      <c r="J47" s="160"/>
      <c r="K47" s="330"/>
      <c r="L47" s="162">
        <f t="shared" si="1"/>
        <v>0</v>
      </c>
      <c r="M47" s="330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526899.30717658298</v>
      </c>
      <c r="E48" s="164">
        <f>IF(+I14&lt;F47,I14,D48)</f>
        <v>33788.933333333334</v>
      </c>
      <c r="F48" s="163">
        <f t="shared" si="10"/>
        <v>493110.37384324963</v>
      </c>
      <c r="G48" s="165">
        <f t="shared" si="11"/>
        <v>100524.22801805656</v>
      </c>
      <c r="H48" s="147">
        <f t="shared" si="12"/>
        <v>100524.22801805656</v>
      </c>
      <c r="I48" s="160">
        <f t="shared" si="0"/>
        <v>0</v>
      </c>
      <c r="J48" s="160"/>
      <c r="K48" s="330"/>
      <c r="L48" s="162">
        <f t="shared" si="1"/>
        <v>0</v>
      </c>
      <c r="M48" s="330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493110.37384324963</v>
      </c>
      <c r="E49" s="164">
        <f>IF(+I14&lt;F48,I14,D49)</f>
        <v>33788.933333333334</v>
      </c>
      <c r="F49" s="163">
        <f t="shared" ref="F49:F72" si="13">+D49-E49</f>
        <v>459321.44050991628</v>
      </c>
      <c r="G49" s="165">
        <f t="shared" si="11"/>
        <v>95951.388867446309</v>
      </c>
      <c r="H49" s="147">
        <f t="shared" si="12"/>
        <v>95951.388867446309</v>
      </c>
      <c r="I49" s="160">
        <f t="shared" ref="I49:I72" si="14">H49-G49</f>
        <v>0</v>
      </c>
      <c r="J49" s="160"/>
      <c r="K49" s="330"/>
      <c r="L49" s="162">
        <f t="shared" ref="L49:L72" si="15">IF(K49&lt;&gt;0,+G49-K49,0)</f>
        <v>0</v>
      </c>
      <c r="M49" s="330"/>
      <c r="N49" s="162">
        <f t="shared" ref="N49:N72" si="16">IF(M49&lt;&gt;0,+H49-M49,0)</f>
        <v>0</v>
      </c>
      <c r="O49" s="162">
        <f t="shared" ref="O49:O72" si="17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459321.44050991628</v>
      </c>
      <c r="E50" s="164">
        <f>IF(+I14&lt;F49,I14,D50)</f>
        <v>33788.933333333334</v>
      </c>
      <c r="F50" s="163">
        <f t="shared" si="13"/>
        <v>425532.50717658293</v>
      </c>
      <c r="G50" s="165">
        <f t="shared" si="11"/>
        <v>91378.54971683606</v>
      </c>
      <c r="H50" s="147">
        <f t="shared" si="12"/>
        <v>91378.54971683606</v>
      </c>
      <c r="I50" s="160">
        <f t="shared" si="14"/>
        <v>0</v>
      </c>
      <c r="J50" s="160"/>
      <c r="K50" s="330"/>
      <c r="L50" s="162">
        <f t="shared" si="15"/>
        <v>0</v>
      </c>
      <c r="M50" s="330"/>
      <c r="N50" s="162">
        <f t="shared" si="16"/>
        <v>0</v>
      </c>
      <c r="O50" s="162">
        <f t="shared" si="17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425532.50717658293</v>
      </c>
      <c r="E51" s="164">
        <f>IF(+I14&lt;F50,I14,D51)</f>
        <v>33788.933333333334</v>
      </c>
      <c r="F51" s="163">
        <f t="shared" si="13"/>
        <v>391743.57384324959</v>
      </c>
      <c r="G51" s="165">
        <f t="shared" si="11"/>
        <v>86805.710566225811</v>
      </c>
      <c r="H51" s="147">
        <f t="shared" si="12"/>
        <v>86805.710566225811</v>
      </c>
      <c r="I51" s="160">
        <f t="shared" si="14"/>
        <v>0</v>
      </c>
      <c r="J51" s="160"/>
      <c r="K51" s="330"/>
      <c r="L51" s="162">
        <f t="shared" si="15"/>
        <v>0</v>
      </c>
      <c r="M51" s="330"/>
      <c r="N51" s="162">
        <f t="shared" si="16"/>
        <v>0</v>
      </c>
      <c r="O51" s="162">
        <f t="shared" si="17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391743.57384324959</v>
      </c>
      <c r="E52" s="164">
        <f>IF(+I14&lt;F51,I14,D52)</f>
        <v>33788.933333333334</v>
      </c>
      <c r="F52" s="163">
        <f t="shared" si="13"/>
        <v>357954.64050991624</v>
      </c>
      <c r="G52" s="165">
        <f t="shared" si="11"/>
        <v>82232.871415615562</v>
      </c>
      <c r="H52" s="147">
        <f t="shared" si="12"/>
        <v>82232.871415615562</v>
      </c>
      <c r="I52" s="160">
        <f t="shared" si="14"/>
        <v>0</v>
      </c>
      <c r="J52" s="160"/>
      <c r="K52" s="330"/>
      <c r="L52" s="162">
        <f t="shared" si="15"/>
        <v>0</v>
      </c>
      <c r="M52" s="330"/>
      <c r="N52" s="162">
        <f t="shared" si="16"/>
        <v>0</v>
      </c>
      <c r="O52" s="162">
        <f t="shared" si="17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357954.64050991624</v>
      </c>
      <c r="E53" s="164">
        <f>IF(+I14&lt;F52,I14,D53)</f>
        <v>33788.933333333334</v>
      </c>
      <c r="F53" s="163">
        <f t="shared" si="13"/>
        <v>324165.70717658289</v>
      </c>
      <c r="G53" s="165">
        <f t="shared" si="11"/>
        <v>77660.032265005313</v>
      </c>
      <c r="H53" s="147">
        <f t="shared" si="12"/>
        <v>77660.032265005313</v>
      </c>
      <c r="I53" s="160">
        <f t="shared" si="14"/>
        <v>0</v>
      </c>
      <c r="J53" s="160"/>
      <c r="K53" s="330"/>
      <c r="L53" s="162">
        <f t="shared" si="15"/>
        <v>0</v>
      </c>
      <c r="M53" s="330"/>
      <c r="N53" s="162">
        <f t="shared" si="16"/>
        <v>0</v>
      </c>
      <c r="O53" s="162">
        <f t="shared" si="17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324165.70717658289</v>
      </c>
      <c r="E54" s="164">
        <f>IF(+I14&lt;F53,I14,D54)</f>
        <v>33788.933333333334</v>
      </c>
      <c r="F54" s="163">
        <f t="shared" si="13"/>
        <v>290376.77384324954</v>
      </c>
      <c r="G54" s="165">
        <f t="shared" si="11"/>
        <v>73087.19311439505</v>
      </c>
      <c r="H54" s="147">
        <f t="shared" si="12"/>
        <v>73087.19311439505</v>
      </c>
      <c r="I54" s="160">
        <f t="shared" si="14"/>
        <v>0</v>
      </c>
      <c r="J54" s="160"/>
      <c r="K54" s="330"/>
      <c r="L54" s="162">
        <f t="shared" si="15"/>
        <v>0</v>
      </c>
      <c r="M54" s="330"/>
      <c r="N54" s="162">
        <f t="shared" si="16"/>
        <v>0</v>
      </c>
      <c r="O54" s="162">
        <f t="shared" si="17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290376.77384324954</v>
      </c>
      <c r="E55" s="164">
        <f>IF(+I14&lt;F54,I14,D55)</f>
        <v>33788.933333333334</v>
      </c>
      <c r="F55" s="163">
        <f t="shared" si="13"/>
        <v>256587.84050991619</v>
      </c>
      <c r="G55" s="165">
        <f t="shared" si="11"/>
        <v>68514.353963784815</v>
      </c>
      <c r="H55" s="147">
        <f t="shared" si="12"/>
        <v>68514.353963784815</v>
      </c>
      <c r="I55" s="160">
        <f t="shared" si="14"/>
        <v>0</v>
      </c>
      <c r="J55" s="160"/>
      <c r="K55" s="330"/>
      <c r="L55" s="162">
        <f t="shared" si="15"/>
        <v>0</v>
      </c>
      <c r="M55" s="330"/>
      <c r="N55" s="162">
        <f t="shared" si="16"/>
        <v>0</v>
      </c>
      <c r="O55" s="162">
        <f t="shared" si="17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256587.84050991619</v>
      </c>
      <c r="E56" s="164">
        <f>IF(+I14&lt;F55,I14,D56)</f>
        <v>33788.933333333334</v>
      </c>
      <c r="F56" s="163">
        <f t="shared" si="13"/>
        <v>222798.90717658284</v>
      </c>
      <c r="G56" s="165">
        <f t="shared" si="11"/>
        <v>63941.514813174559</v>
      </c>
      <c r="H56" s="147">
        <f t="shared" si="12"/>
        <v>63941.514813174559</v>
      </c>
      <c r="I56" s="160">
        <f t="shared" si="14"/>
        <v>0</v>
      </c>
      <c r="J56" s="160"/>
      <c r="K56" s="330"/>
      <c r="L56" s="162">
        <f t="shared" si="15"/>
        <v>0</v>
      </c>
      <c r="M56" s="330"/>
      <c r="N56" s="162">
        <f t="shared" si="16"/>
        <v>0</v>
      </c>
      <c r="O56" s="162">
        <f t="shared" si="17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222798.90717658284</v>
      </c>
      <c r="E57" s="164">
        <f>IF(+I14&lt;F56,I14,D57)</f>
        <v>33788.933333333334</v>
      </c>
      <c r="F57" s="163">
        <f t="shared" si="13"/>
        <v>189009.97384324949</v>
      </c>
      <c r="G57" s="165">
        <f t="shared" si="11"/>
        <v>59368.67566256431</v>
      </c>
      <c r="H57" s="147">
        <f t="shared" si="12"/>
        <v>59368.67566256431</v>
      </c>
      <c r="I57" s="160">
        <f t="shared" si="14"/>
        <v>0</v>
      </c>
      <c r="J57" s="160"/>
      <c r="K57" s="330"/>
      <c r="L57" s="162">
        <f t="shared" si="15"/>
        <v>0</v>
      </c>
      <c r="M57" s="330"/>
      <c r="N57" s="162">
        <f t="shared" si="16"/>
        <v>0</v>
      </c>
      <c r="O57" s="162">
        <f t="shared" si="17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189009.97384324949</v>
      </c>
      <c r="E58" s="164">
        <f>IF(+I14&lt;F57,I14,D58)</f>
        <v>33788.933333333334</v>
      </c>
      <c r="F58" s="163">
        <f t="shared" si="13"/>
        <v>155221.04050991614</v>
      </c>
      <c r="G58" s="165">
        <f t="shared" si="11"/>
        <v>54795.836511954061</v>
      </c>
      <c r="H58" s="147">
        <f t="shared" si="12"/>
        <v>54795.836511954061</v>
      </c>
      <c r="I58" s="160">
        <f t="shared" si="14"/>
        <v>0</v>
      </c>
      <c r="J58" s="160"/>
      <c r="K58" s="330"/>
      <c r="L58" s="162">
        <f t="shared" si="15"/>
        <v>0</v>
      </c>
      <c r="M58" s="330"/>
      <c r="N58" s="162">
        <f t="shared" si="16"/>
        <v>0</v>
      </c>
      <c r="O58" s="162">
        <f t="shared" si="17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155221.04050991614</v>
      </c>
      <c r="E59" s="164">
        <f>IF(+I14&lt;F58,I14,D59)</f>
        <v>33788.933333333334</v>
      </c>
      <c r="F59" s="163">
        <f t="shared" si="13"/>
        <v>121432.10717658281</v>
      </c>
      <c r="G59" s="165">
        <f t="shared" si="11"/>
        <v>50222.997361343812</v>
      </c>
      <c r="H59" s="147">
        <f t="shared" si="12"/>
        <v>50222.997361343812</v>
      </c>
      <c r="I59" s="160">
        <f t="shared" si="14"/>
        <v>0</v>
      </c>
      <c r="J59" s="160"/>
      <c r="K59" s="330"/>
      <c r="L59" s="162">
        <f t="shared" si="15"/>
        <v>0</v>
      </c>
      <c r="M59" s="330"/>
      <c r="N59" s="162">
        <f t="shared" si="16"/>
        <v>0</v>
      </c>
      <c r="O59" s="162">
        <f t="shared" si="17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121432.10717658281</v>
      </c>
      <c r="E60" s="164">
        <f>IF(+I14&lt;F59,I14,D60)</f>
        <v>33788.933333333334</v>
      </c>
      <c r="F60" s="163">
        <f t="shared" si="13"/>
        <v>87643.173843249475</v>
      </c>
      <c r="G60" s="165">
        <f t="shared" si="11"/>
        <v>45650.158210733563</v>
      </c>
      <c r="H60" s="147">
        <f t="shared" si="12"/>
        <v>45650.158210733563</v>
      </c>
      <c r="I60" s="160">
        <f t="shared" si="14"/>
        <v>0</v>
      </c>
      <c r="J60" s="160"/>
      <c r="K60" s="330"/>
      <c r="L60" s="162">
        <f t="shared" si="15"/>
        <v>0</v>
      </c>
      <c r="M60" s="330"/>
      <c r="N60" s="162">
        <f t="shared" si="16"/>
        <v>0</v>
      </c>
      <c r="O60" s="162">
        <f t="shared" si="17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87643.173843249475</v>
      </c>
      <c r="E61" s="164">
        <f>IF(+I14&lt;F60,I14,D61)</f>
        <v>33788.933333333334</v>
      </c>
      <c r="F61" s="163">
        <f t="shared" si="13"/>
        <v>53854.240509916141</v>
      </c>
      <c r="G61" s="167">
        <f t="shared" si="11"/>
        <v>41077.319060123315</v>
      </c>
      <c r="H61" s="147">
        <f t="shared" si="12"/>
        <v>41077.319060123315</v>
      </c>
      <c r="I61" s="160">
        <f t="shared" si="14"/>
        <v>0</v>
      </c>
      <c r="J61" s="160"/>
      <c r="K61" s="330"/>
      <c r="L61" s="162">
        <f t="shared" si="15"/>
        <v>0</v>
      </c>
      <c r="M61" s="330"/>
      <c r="N61" s="162">
        <f t="shared" si="16"/>
        <v>0</v>
      </c>
      <c r="O61" s="162">
        <f t="shared" si="17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53854.240509916141</v>
      </c>
      <c r="E62" s="164">
        <f>IF(+I14&lt;F61,I14,D62)</f>
        <v>33788.933333333334</v>
      </c>
      <c r="F62" s="163">
        <f t="shared" si="13"/>
        <v>20065.307176582806</v>
      </c>
      <c r="G62" s="167">
        <f t="shared" si="11"/>
        <v>36504.479909513066</v>
      </c>
      <c r="H62" s="147">
        <f t="shared" si="12"/>
        <v>36504.479909513066</v>
      </c>
      <c r="I62" s="160">
        <f t="shared" si="14"/>
        <v>0</v>
      </c>
      <c r="J62" s="160"/>
      <c r="K62" s="330"/>
      <c r="L62" s="162">
        <f t="shared" si="15"/>
        <v>0</v>
      </c>
      <c r="M62" s="330"/>
      <c r="N62" s="162">
        <f t="shared" si="16"/>
        <v>0</v>
      </c>
      <c r="O62" s="162">
        <f t="shared" si="17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20065.307176582806</v>
      </c>
      <c r="E63" s="164">
        <f>IF(+I14&lt;F62,I14,D63)</f>
        <v>20065.307176582806</v>
      </c>
      <c r="F63" s="163">
        <f t="shared" si="13"/>
        <v>0</v>
      </c>
      <c r="G63" s="167">
        <f t="shared" si="11"/>
        <v>20065.307176582806</v>
      </c>
      <c r="H63" s="147">
        <f t="shared" si="12"/>
        <v>20065.307176582806</v>
      </c>
      <c r="I63" s="160">
        <f t="shared" si="14"/>
        <v>0</v>
      </c>
      <c r="J63" s="160"/>
      <c r="K63" s="330"/>
      <c r="L63" s="162">
        <f t="shared" si="15"/>
        <v>0</v>
      </c>
      <c r="M63" s="330"/>
      <c r="N63" s="162">
        <f t="shared" si="16"/>
        <v>0</v>
      </c>
      <c r="O63" s="162">
        <f t="shared" si="17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7">
        <f t="shared" si="11"/>
        <v>0</v>
      </c>
      <c r="H64" s="147">
        <f t="shared" si="12"/>
        <v>0</v>
      </c>
      <c r="I64" s="160">
        <f t="shared" si="14"/>
        <v>0</v>
      </c>
      <c r="J64" s="160"/>
      <c r="K64" s="330"/>
      <c r="L64" s="162">
        <f t="shared" si="15"/>
        <v>0</v>
      </c>
      <c r="M64" s="330"/>
      <c r="N64" s="162">
        <f t="shared" si="16"/>
        <v>0</v>
      </c>
      <c r="O64" s="162">
        <f t="shared" si="17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7">
        <f t="shared" si="11"/>
        <v>0</v>
      </c>
      <c r="H65" s="147">
        <f t="shared" si="12"/>
        <v>0</v>
      </c>
      <c r="I65" s="160">
        <f t="shared" si="14"/>
        <v>0</v>
      </c>
      <c r="J65" s="160"/>
      <c r="K65" s="330"/>
      <c r="L65" s="162">
        <f t="shared" si="15"/>
        <v>0</v>
      </c>
      <c r="M65" s="330"/>
      <c r="N65" s="162">
        <f t="shared" si="16"/>
        <v>0</v>
      </c>
      <c r="O65" s="162">
        <f t="shared" si="17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7">
        <f t="shared" si="11"/>
        <v>0</v>
      </c>
      <c r="H66" s="147">
        <f t="shared" si="12"/>
        <v>0</v>
      </c>
      <c r="I66" s="160">
        <f t="shared" si="14"/>
        <v>0</v>
      </c>
      <c r="J66" s="160"/>
      <c r="K66" s="330"/>
      <c r="L66" s="162">
        <f t="shared" si="15"/>
        <v>0</v>
      </c>
      <c r="M66" s="330"/>
      <c r="N66" s="162">
        <f t="shared" si="16"/>
        <v>0</v>
      </c>
      <c r="O66" s="162">
        <f t="shared" si="17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7">
        <f t="shared" si="11"/>
        <v>0</v>
      </c>
      <c r="H67" s="147">
        <f t="shared" si="12"/>
        <v>0</v>
      </c>
      <c r="I67" s="160">
        <f t="shared" si="14"/>
        <v>0</v>
      </c>
      <c r="J67" s="160"/>
      <c r="K67" s="330"/>
      <c r="L67" s="162">
        <f t="shared" si="15"/>
        <v>0</v>
      </c>
      <c r="M67" s="330"/>
      <c r="N67" s="162">
        <f t="shared" si="16"/>
        <v>0</v>
      </c>
      <c r="O67" s="162">
        <f t="shared" si="17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7">
        <f t="shared" si="11"/>
        <v>0</v>
      </c>
      <c r="H68" s="147">
        <f t="shared" si="12"/>
        <v>0</v>
      </c>
      <c r="I68" s="160">
        <f t="shared" si="14"/>
        <v>0</v>
      </c>
      <c r="J68" s="160"/>
      <c r="K68" s="330"/>
      <c r="L68" s="162">
        <f t="shared" si="15"/>
        <v>0</v>
      </c>
      <c r="M68" s="330"/>
      <c r="N68" s="162">
        <f t="shared" si="16"/>
        <v>0</v>
      </c>
      <c r="O68" s="162">
        <f t="shared" si="17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7">
        <f t="shared" si="11"/>
        <v>0</v>
      </c>
      <c r="H69" s="147">
        <f t="shared" si="12"/>
        <v>0</v>
      </c>
      <c r="I69" s="160">
        <f t="shared" si="14"/>
        <v>0</v>
      </c>
      <c r="J69" s="160"/>
      <c r="K69" s="330"/>
      <c r="L69" s="162">
        <f t="shared" si="15"/>
        <v>0</v>
      </c>
      <c r="M69" s="330"/>
      <c r="N69" s="162">
        <f t="shared" si="16"/>
        <v>0</v>
      </c>
      <c r="O69" s="162">
        <f t="shared" si="17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7">
        <f t="shared" si="11"/>
        <v>0</v>
      </c>
      <c r="H70" s="147">
        <f t="shared" si="12"/>
        <v>0</v>
      </c>
      <c r="I70" s="160">
        <f t="shared" si="14"/>
        <v>0</v>
      </c>
      <c r="J70" s="160"/>
      <c r="K70" s="330"/>
      <c r="L70" s="162">
        <f t="shared" si="15"/>
        <v>0</v>
      </c>
      <c r="M70" s="330"/>
      <c r="N70" s="162">
        <f t="shared" si="16"/>
        <v>0</v>
      </c>
      <c r="O70" s="162">
        <f t="shared" si="17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7">
        <f t="shared" si="11"/>
        <v>0</v>
      </c>
      <c r="H71" s="147">
        <f t="shared" si="12"/>
        <v>0</v>
      </c>
      <c r="I71" s="160">
        <f t="shared" si="14"/>
        <v>0</v>
      </c>
      <c r="J71" s="160"/>
      <c r="K71" s="330"/>
      <c r="L71" s="162">
        <f t="shared" si="15"/>
        <v>0</v>
      </c>
      <c r="M71" s="330"/>
      <c r="N71" s="162">
        <f t="shared" si="16"/>
        <v>0</v>
      </c>
      <c r="O71" s="162">
        <f t="shared" si="17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71">
        <f t="shared" si="11"/>
        <v>0</v>
      </c>
      <c r="H72" s="130">
        <f t="shared" si="12"/>
        <v>0</v>
      </c>
      <c r="I72" s="172">
        <f t="shared" si="14"/>
        <v>0</v>
      </c>
      <c r="J72" s="160"/>
      <c r="K72" s="331"/>
      <c r="L72" s="173">
        <f t="shared" si="15"/>
        <v>0</v>
      </c>
      <c r="M72" s="331"/>
      <c r="N72" s="173">
        <f t="shared" si="16"/>
        <v>0</v>
      </c>
      <c r="O72" s="173">
        <f t="shared" si="17"/>
        <v>0</v>
      </c>
      <c r="P72" s="4"/>
    </row>
    <row r="73" spans="2:16">
      <c r="C73" s="158" t="s">
        <v>77</v>
      </c>
      <c r="D73" s="115"/>
      <c r="E73" s="115">
        <f>SUM(E17:E72)</f>
        <v>1520502.0000000002</v>
      </c>
      <c r="F73" s="115"/>
      <c r="G73" s="115">
        <f>SUM(G17:G72)</f>
        <v>6208422.6811650163</v>
      </c>
      <c r="H73" s="115">
        <f>SUM(H17:H72)</f>
        <v>6208422.6811650163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106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78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79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48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0" t="s">
        <v>144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49" t="s">
        <v>146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6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6" t="s">
        <v>151</v>
      </c>
    </row>
    <row r="85" spans="1:16" ht="18.75" thickBot="1">
      <c r="B85" s="5" t="s">
        <v>42</v>
      </c>
      <c r="C85" s="201" t="s">
        <v>91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57">
        <f>+J92</f>
        <v>2018</v>
      </c>
      <c r="M86" s="258" t="s">
        <v>8</v>
      </c>
      <c r="N86" s="259" t="s">
        <v>153</v>
      </c>
      <c r="O86" s="260" t="s">
        <v>10</v>
      </c>
      <c r="P86" s="1"/>
    </row>
    <row r="87" spans="1:16" ht="15">
      <c r="C87" s="240" t="s">
        <v>44</v>
      </c>
      <c r="D87" s="2"/>
      <c r="E87" s="1"/>
      <c r="F87" s="1"/>
      <c r="G87" s="1"/>
      <c r="H87" s="117"/>
      <c r="I87" s="1" t="s">
        <v>45</v>
      </c>
      <c r="J87" s="1"/>
      <c r="K87" s="261"/>
      <c r="L87" s="262" t="s">
        <v>154</v>
      </c>
      <c r="M87" s="202">
        <f>IF(J92&lt;D11,0,VLOOKUP(J92,C17:O72,9))</f>
        <v>196553.85018087178</v>
      </c>
      <c r="N87" s="202">
        <f>IF(J92&lt;D11,0,VLOOKUP(J92,C17:O72,11))</f>
        <v>196553.85018087178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3"/>
      <c r="L88" s="264" t="s">
        <v>155</v>
      </c>
      <c r="M88" s="204">
        <f>IF(J92&lt;D11,0,VLOOKUP(J92,C99:P154,6))</f>
        <v>160125.3839048628</v>
      </c>
      <c r="N88" s="204">
        <f>IF(J92&lt;D11,0,VLOOKUP(J92,C99:P154,7))</f>
        <v>160125.3839048628</v>
      </c>
      <c r="O88" s="205">
        <f>+N88-M88</f>
        <v>0</v>
      </c>
      <c r="P88" s="1"/>
    </row>
    <row r="89" spans="1:16" ht="13.5" thickBot="1">
      <c r="C89" s="127" t="s">
        <v>92</v>
      </c>
      <c r="D89" s="252" t="str">
        <f>+D7</f>
        <v>Pryor Junction 138/69 Upgrade Transf</v>
      </c>
      <c r="E89" s="1"/>
      <c r="F89" s="1"/>
      <c r="G89" s="1"/>
      <c r="H89" s="1"/>
      <c r="I89" s="3"/>
      <c r="J89" s="3"/>
      <c r="K89" s="265"/>
      <c r="L89" s="266" t="s">
        <v>156</v>
      </c>
      <c r="M89" s="207">
        <f>+M88-M87</f>
        <v>-36428.466276008985</v>
      </c>
      <c r="N89" s="207">
        <f>+N88-N87</f>
        <v>-36428.466276008985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93</v>
      </c>
      <c r="D91" s="228" t="str">
        <f>+D9</f>
        <v>TP2006090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1" t="s">
        <v>226</v>
      </c>
      <c r="D92" s="138">
        <v>1520502</v>
      </c>
      <c r="E92" s="22" t="s">
        <v>94</v>
      </c>
      <c r="H92" s="139"/>
      <c r="I92" s="139"/>
      <c r="J92" s="140">
        <f>+'PSO.WS.G.BPU.ATRR.True-up'!M16</f>
        <v>2018</v>
      </c>
      <c r="K92" s="136"/>
      <c r="L92" s="115" t="s">
        <v>95</v>
      </c>
      <c r="P92" s="4"/>
    </row>
    <row r="93" spans="1:16">
      <c r="C93" s="141" t="s">
        <v>53</v>
      </c>
      <c r="D93" s="223">
        <f>IF(D11=I10,"",D11)</f>
        <v>2008</v>
      </c>
      <c r="E93" s="141" t="s">
        <v>54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55</v>
      </c>
      <c r="D94" s="222">
        <f>IF(D11=I10,"",D12)</f>
        <v>4</v>
      </c>
      <c r="E94" s="141" t="s">
        <v>56</v>
      </c>
      <c r="F94" s="139"/>
      <c r="G94" s="139"/>
      <c r="J94" s="145">
        <f>'PSO.WS.G.BPU.ATRR.True-up'!$F$81</f>
        <v>0.10273556682691798</v>
      </c>
      <c r="K94" s="146"/>
      <c r="L94" t="s">
        <v>96</v>
      </c>
      <c r="P94" s="4"/>
    </row>
    <row r="95" spans="1:16">
      <c r="C95" s="141" t="s">
        <v>58</v>
      </c>
      <c r="D95" s="143">
        <f>'PSO.WS.G.BPU.ATRR.True-up'!F$93</f>
        <v>43</v>
      </c>
      <c r="E95" s="141" t="s">
        <v>59</v>
      </c>
      <c r="F95" s="139"/>
      <c r="G95" s="139"/>
      <c r="J95" s="145">
        <f>IF(H87="",J94,'PSO.WS.G.BPU.ATRR.True-up'!$F$80)</f>
        <v>0.10273556682691798</v>
      </c>
      <c r="K95" s="61"/>
      <c r="L95" s="115" t="s">
        <v>60</v>
      </c>
      <c r="M95" s="61"/>
      <c r="N95" s="61"/>
      <c r="O95" s="61"/>
      <c r="P95" s="4"/>
    </row>
    <row r="96" spans="1:16" ht="13.5" thickBot="1">
      <c r="C96" s="141" t="s">
        <v>61</v>
      </c>
      <c r="D96" s="224" t="str">
        <f>+D14</f>
        <v>No</v>
      </c>
      <c r="E96" s="206" t="s">
        <v>63</v>
      </c>
      <c r="F96" s="212"/>
      <c r="G96" s="212"/>
      <c r="H96" s="213"/>
      <c r="I96" s="213"/>
      <c r="J96" s="130">
        <f>IF(D92=0,0,ROUND(D92/D95,0))</f>
        <v>35361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50</v>
      </c>
      <c r="D97" s="215" t="s">
        <v>64</v>
      </c>
      <c r="E97" s="151" t="s">
        <v>65</v>
      </c>
      <c r="F97" s="151" t="s">
        <v>66</v>
      </c>
      <c r="G97" s="149" t="s">
        <v>101</v>
      </c>
      <c r="H97" s="358" t="s">
        <v>286</v>
      </c>
      <c r="I97" s="334" t="s">
        <v>287</v>
      </c>
      <c r="J97" s="214" t="s">
        <v>98</v>
      </c>
      <c r="K97" s="216"/>
      <c r="L97" s="334" t="s">
        <v>211</v>
      </c>
      <c r="M97" s="151" t="s">
        <v>99</v>
      </c>
      <c r="N97" s="334" t="s">
        <v>211</v>
      </c>
      <c r="O97" s="151" t="s">
        <v>99</v>
      </c>
      <c r="P97" s="151" t="s">
        <v>69</v>
      </c>
    </row>
    <row r="98" spans="1:16" ht="13.5" thickBot="1">
      <c r="C98" s="152" t="s">
        <v>70</v>
      </c>
      <c r="D98" s="217" t="s">
        <v>71</v>
      </c>
      <c r="E98" s="152" t="s">
        <v>72</v>
      </c>
      <c r="F98" s="152" t="s">
        <v>71</v>
      </c>
      <c r="G98" s="152" t="s">
        <v>71</v>
      </c>
      <c r="H98" s="314" t="s">
        <v>73</v>
      </c>
      <c r="I98" s="153" t="s">
        <v>74</v>
      </c>
      <c r="J98" s="154" t="s">
        <v>104</v>
      </c>
      <c r="K98" s="155"/>
      <c r="L98" s="156" t="s">
        <v>76</v>
      </c>
      <c r="M98" s="156" t="s">
        <v>76</v>
      </c>
      <c r="N98" s="156" t="s">
        <v>105</v>
      </c>
      <c r="O98" s="156" t="s">
        <v>105</v>
      </c>
      <c r="P98" s="156" t="s">
        <v>105</v>
      </c>
    </row>
    <row r="99" spans="1:16">
      <c r="C99" s="157">
        <f>IF(D93= "","-",D93)</f>
        <v>2008</v>
      </c>
      <c r="D99" s="361">
        <v>0</v>
      </c>
      <c r="E99" s="363">
        <v>19125</v>
      </c>
      <c r="F99" s="366">
        <v>1501348</v>
      </c>
      <c r="G99" s="368">
        <v>750764</v>
      </c>
      <c r="H99" s="369">
        <v>138367</v>
      </c>
      <c r="I99" s="370">
        <v>138367</v>
      </c>
      <c r="J99" s="162">
        <f t="shared" ref="J99:J130" si="18">+I99-H99</f>
        <v>0</v>
      </c>
      <c r="K99" s="162"/>
      <c r="L99" s="332">
        <v>138367</v>
      </c>
      <c r="M99" s="161">
        <f t="shared" ref="M99:M130" si="19">IF(L99&lt;&gt;0,+H99-L99,0)</f>
        <v>0</v>
      </c>
      <c r="N99" s="332">
        <v>138367</v>
      </c>
      <c r="O99" s="161">
        <f t="shared" ref="O99:O130" si="20">IF(N99&lt;&gt;0,+I99-N99,0)</f>
        <v>0</v>
      </c>
      <c r="P99" s="161">
        <f t="shared" ref="P99:P130" si="21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1">
        <v>1501377</v>
      </c>
      <c r="E100" s="363">
        <v>27152</v>
      </c>
      <c r="F100" s="366">
        <v>1474225</v>
      </c>
      <c r="G100" s="366">
        <v>1487801</v>
      </c>
      <c r="H100" s="363">
        <v>244680.82784018715</v>
      </c>
      <c r="I100" s="365">
        <v>244680.82784018715</v>
      </c>
      <c r="J100" s="162">
        <f t="shared" si="18"/>
        <v>0</v>
      </c>
      <c r="K100" s="162"/>
      <c r="L100" s="375">
        <f t="shared" ref="L100:L105" si="22">H100</f>
        <v>244680.82784018715</v>
      </c>
      <c r="M100" s="376">
        <f t="shared" si="19"/>
        <v>0</v>
      </c>
      <c r="N100" s="375">
        <f t="shared" ref="N100:N105" si="23">I100</f>
        <v>244680.82784018715</v>
      </c>
      <c r="O100" s="162">
        <f t="shared" si="20"/>
        <v>0</v>
      </c>
      <c r="P100" s="162">
        <f t="shared" si="21"/>
        <v>0</v>
      </c>
    </row>
    <row r="101" spans="1:16">
      <c r="B101" s="9" t="str">
        <f t="shared" ref="B101:B154" si="24">IF(D101=F100,"","IU")</f>
        <v/>
      </c>
      <c r="C101" s="157">
        <f>IF(D93="","-",+C100+1)</f>
        <v>2010</v>
      </c>
      <c r="D101" s="361">
        <v>1474225</v>
      </c>
      <c r="E101" s="363">
        <v>29814</v>
      </c>
      <c r="F101" s="366">
        <v>1444411</v>
      </c>
      <c r="G101" s="366">
        <v>1459318</v>
      </c>
      <c r="H101" s="363">
        <v>264494.5477733505</v>
      </c>
      <c r="I101" s="365">
        <v>264494.5477733505</v>
      </c>
      <c r="J101" s="162">
        <f t="shared" si="18"/>
        <v>0</v>
      </c>
      <c r="K101" s="162"/>
      <c r="L101" s="375">
        <f t="shared" si="22"/>
        <v>264494.5477733505</v>
      </c>
      <c r="M101" s="376">
        <f t="shared" si="19"/>
        <v>0</v>
      </c>
      <c r="N101" s="375">
        <f t="shared" si="23"/>
        <v>264494.5477733505</v>
      </c>
      <c r="O101" s="162">
        <f t="shared" si="20"/>
        <v>0</v>
      </c>
      <c r="P101" s="162">
        <f t="shared" si="21"/>
        <v>0</v>
      </c>
    </row>
    <row r="102" spans="1:16">
      <c r="B102" s="9" t="str">
        <f t="shared" si="24"/>
        <v/>
      </c>
      <c r="C102" s="157">
        <f>IF(D93="","-",+C101+1)</f>
        <v>2011</v>
      </c>
      <c r="D102" s="361">
        <v>1444411</v>
      </c>
      <c r="E102" s="363">
        <v>29240</v>
      </c>
      <c r="F102" s="366">
        <v>1415171</v>
      </c>
      <c r="G102" s="366">
        <v>1429791</v>
      </c>
      <c r="H102" s="363">
        <v>229143.9952359481</v>
      </c>
      <c r="I102" s="365">
        <v>229143.9952359481</v>
      </c>
      <c r="J102" s="162">
        <f t="shared" si="18"/>
        <v>0</v>
      </c>
      <c r="K102" s="162"/>
      <c r="L102" s="375">
        <f t="shared" si="22"/>
        <v>229143.9952359481</v>
      </c>
      <c r="M102" s="376">
        <f t="shared" si="19"/>
        <v>0</v>
      </c>
      <c r="N102" s="375">
        <f t="shared" si="23"/>
        <v>229143.9952359481</v>
      </c>
      <c r="O102" s="162">
        <f t="shared" si="20"/>
        <v>0</v>
      </c>
      <c r="P102" s="162">
        <f t="shared" si="21"/>
        <v>0</v>
      </c>
    </row>
    <row r="103" spans="1:16">
      <c r="B103" s="9" t="str">
        <f t="shared" si="24"/>
        <v/>
      </c>
      <c r="C103" s="157">
        <f>IF(D93="","-",+C102+1)</f>
        <v>2012</v>
      </c>
      <c r="D103" s="361">
        <v>1415171</v>
      </c>
      <c r="E103" s="363">
        <v>29240</v>
      </c>
      <c r="F103" s="366">
        <v>1385931</v>
      </c>
      <c r="G103" s="366">
        <v>1400551</v>
      </c>
      <c r="H103" s="363">
        <v>230716.93888695308</v>
      </c>
      <c r="I103" s="365">
        <v>230716.93888695308</v>
      </c>
      <c r="J103" s="162">
        <v>0</v>
      </c>
      <c r="K103" s="162"/>
      <c r="L103" s="375">
        <f t="shared" si="22"/>
        <v>230716.93888695308</v>
      </c>
      <c r="M103" s="376">
        <f t="shared" ref="M103:M108" si="25">IF(L103&lt;&gt;0,+H103-L103,0)</f>
        <v>0</v>
      </c>
      <c r="N103" s="375">
        <f t="shared" si="23"/>
        <v>230716.93888695308</v>
      </c>
      <c r="O103" s="162">
        <f t="shared" ref="O103:O108" si="26">IF(N103&lt;&gt;0,+I103-N103,0)</f>
        <v>0</v>
      </c>
      <c r="P103" s="162">
        <f t="shared" ref="P103:P108" si="27">+O103-M103</f>
        <v>0</v>
      </c>
    </row>
    <row r="104" spans="1:16">
      <c r="B104" s="9" t="str">
        <f t="shared" si="24"/>
        <v/>
      </c>
      <c r="C104" s="157">
        <f>IF(D93="","-",+C103+1)</f>
        <v>2013</v>
      </c>
      <c r="D104" s="361">
        <v>1385931</v>
      </c>
      <c r="E104" s="363">
        <v>29240</v>
      </c>
      <c r="F104" s="366">
        <v>1356691</v>
      </c>
      <c r="G104" s="366">
        <v>1371311</v>
      </c>
      <c r="H104" s="363">
        <v>226625.94850487544</v>
      </c>
      <c r="I104" s="365">
        <v>226625.94850487544</v>
      </c>
      <c r="J104" s="162">
        <v>0</v>
      </c>
      <c r="K104" s="162"/>
      <c r="L104" s="375">
        <f t="shared" si="22"/>
        <v>226625.94850487544</v>
      </c>
      <c r="M104" s="376">
        <f t="shared" si="25"/>
        <v>0</v>
      </c>
      <c r="N104" s="375">
        <f t="shared" si="23"/>
        <v>226625.94850487544</v>
      </c>
      <c r="O104" s="162">
        <f t="shared" si="26"/>
        <v>0</v>
      </c>
      <c r="P104" s="162">
        <f t="shared" si="27"/>
        <v>0</v>
      </c>
    </row>
    <row r="105" spans="1:16">
      <c r="B105" s="9" t="str">
        <f t="shared" si="24"/>
        <v/>
      </c>
      <c r="C105" s="157">
        <f>IF(D93="","-",+C104+1)</f>
        <v>2014</v>
      </c>
      <c r="D105" s="361">
        <v>1356691</v>
      </c>
      <c r="E105" s="363">
        <v>29240</v>
      </c>
      <c r="F105" s="366">
        <v>1327451</v>
      </c>
      <c r="G105" s="366">
        <v>1342071</v>
      </c>
      <c r="H105" s="363">
        <v>217929.69653942893</v>
      </c>
      <c r="I105" s="365">
        <v>217929.69653942893</v>
      </c>
      <c r="J105" s="162">
        <v>0</v>
      </c>
      <c r="K105" s="162"/>
      <c r="L105" s="375">
        <f t="shared" si="22"/>
        <v>217929.69653942893</v>
      </c>
      <c r="M105" s="376">
        <f t="shared" si="25"/>
        <v>0</v>
      </c>
      <c r="N105" s="375">
        <f t="shared" si="23"/>
        <v>217929.69653942893</v>
      </c>
      <c r="O105" s="162">
        <f t="shared" si="26"/>
        <v>0</v>
      </c>
      <c r="P105" s="162">
        <f t="shared" si="27"/>
        <v>0</v>
      </c>
    </row>
    <row r="106" spans="1:16">
      <c r="B106" s="9" t="str">
        <f t="shared" si="24"/>
        <v/>
      </c>
      <c r="C106" s="157">
        <f>IF(D93="","-",+C105+1)</f>
        <v>2015</v>
      </c>
      <c r="D106" s="361">
        <v>1327451</v>
      </c>
      <c r="E106" s="363">
        <v>29240</v>
      </c>
      <c r="F106" s="366">
        <v>1298211</v>
      </c>
      <c r="G106" s="366">
        <v>1312831</v>
      </c>
      <c r="H106" s="363">
        <v>208365.23426858318</v>
      </c>
      <c r="I106" s="365">
        <v>208365.23426858318</v>
      </c>
      <c r="J106" s="162">
        <f t="shared" si="18"/>
        <v>0</v>
      </c>
      <c r="K106" s="162"/>
      <c r="L106" s="375">
        <f>H106</f>
        <v>208365.23426858318</v>
      </c>
      <c r="M106" s="376">
        <f t="shared" si="25"/>
        <v>0</v>
      </c>
      <c r="N106" s="375">
        <f>I106</f>
        <v>208365.23426858318</v>
      </c>
      <c r="O106" s="162">
        <f t="shared" si="26"/>
        <v>0</v>
      </c>
      <c r="P106" s="162">
        <f t="shared" si="27"/>
        <v>0</v>
      </c>
    </row>
    <row r="107" spans="1:16">
      <c r="B107" s="9" t="str">
        <f t="shared" si="24"/>
        <v/>
      </c>
      <c r="C107" s="157">
        <f>IF(D93="","-",+C106+1)</f>
        <v>2016</v>
      </c>
      <c r="D107" s="361">
        <v>1298211</v>
      </c>
      <c r="E107" s="363">
        <v>33054</v>
      </c>
      <c r="F107" s="366">
        <v>1265157</v>
      </c>
      <c r="G107" s="366">
        <v>1281684</v>
      </c>
      <c r="H107" s="363">
        <v>198283.25268027262</v>
      </c>
      <c r="I107" s="365">
        <v>198283.25268027262</v>
      </c>
      <c r="J107" s="162">
        <f t="shared" si="18"/>
        <v>0</v>
      </c>
      <c r="K107" s="162"/>
      <c r="L107" s="375">
        <f>H107</f>
        <v>198283.25268027262</v>
      </c>
      <c r="M107" s="376">
        <f t="shared" si="25"/>
        <v>0</v>
      </c>
      <c r="N107" s="375">
        <f>I107</f>
        <v>198283.25268027262</v>
      </c>
      <c r="O107" s="162">
        <f t="shared" si="26"/>
        <v>0</v>
      </c>
      <c r="P107" s="162">
        <f t="shared" si="27"/>
        <v>0</v>
      </c>
    </row>
    <row r="108" spans="1:16">
      <c r="B108" s="9" t="str">
        <f t="shared" si="24"/>
        <v/>
      </c>
      <c r="C108" s="157">
        <f>IF(D93="","-",+C107+1)</f>
        <v>2017</v>
      </c>
      <c r="D108" s="361">
        <v>1265157</v>
      </c>
      <c r="E108" s="363">
        <v>33054</v>
      </c>
      <c r="F108" s="366">
        <v>1232103</v>
      </c>
      <c r="G108" s="366">
        <v>1248630</v>
      </c>
      <c r="H108" s="363">
        <v>191445.86392166355</v>
      </c>
      <c r="I108" s="365">
        <v>191445.86392166355</v>
      </c>
      <c r="J108" s="162">
        <f t="shared" si="18"/>
        <v>0</v>
      </c>
      <c r="K108" s="162"/>
      <c r="L108" s="375">
        <f>H108</f>
        <v>191445.86392166355</v>
      </c>
      <c r="M108" s="376">
        <f t="shared" si="25"/>
        <v>0</v>
      </c>
      <c r="N108" s="375">
        <f>I108</f>
        <v>191445.86392166355</v>
      </c>
      <c r="O108" s="162">
        <f t="shared" si="26"/>
        <v>0</v>
      </c>
      <c r="P108" s="162">
        <f t="shared" si="27"/>
        <v>0</v>
      </c>
    </row>
    <row r="109" spans="1:16">
      <c r="B109" s="9" t="str">
        <f t="shared" si="24"/>
        <v/>
      </c>
      <c r="C109" s="157">
        <f>IF(D93="","-",+C108+1)</f>
        <v>2018</v>
      </c>
      <c r="D109" s="158">
        <f>IF(F108+SUM(E$99:E108)=D$92,F108,D$92-SUM(E$99:E108))</f>
        <v>1232103</v>
      </c>
      <c r="E109" s="165">
        <f>IF(+J96&lt;F108,J96,D109)</f>
        <v>35361</v>
      </c>
      <c r="F109" s="163">
        <f t="shared" ref="F109:F130" si="28">+D109-E109</f>
        <v>1196742</v>
      </c>
      <c r="G109" s="163">
        <f t="shared" ref="G109:G130" si="29">+(F109+D109)/2</f>
        <v>1214422.5</v>
      </c>
      <c r="H109" s="167">
        <f t="shared" ref="H109:H154" si="30">+J$94*G109+E109</f>
        <v>160125.3839048628</v>
      </c>
      <c r="I109" s="312">
        <f t="shared" ref="I109:I154" si="31">+J$95*G109+E109</f>
        <v>160125.3839048628</v>
      </c>
      <c r="J109" s="162">
        <f t="shared" si="18"/>
        <v>0</v>
      </c>
      <c r="K109" s="162"/>
      <c r="L109" s="330"/>
      <c r="M109" s="162">
        <f t="shared" si="19"/>
        <v>0</v>
      </c>
      <c r="N109" s="330"/>
      <c r="O109" s="162">
        <f t="shared" si="20"/>
        <v>0</v>
      </c>
      <c r="P109" s="162">
        <f t="shared" si="21"/>
        <v>0</v>
      </c>
    </row>
    <row r="110" spans="1:16">
      <c r="B110" s="9" t="str">
        <f t="shared" si="24"/>
        <v/>
      </c>
      <c r="C110" s="157">
        <f>IF(D93="","-",+C109+1)</f>
        <v>2019</v>
      </c>
      <c r="D110" s="158">
        <f>IF(F109+SUM(E$99:E109)=D$92,F109,D$92-SUM(E$99:E109))</f>
        <v>1196742</v>
      </c>
      <c r="E110" s="165">
        <f>IF(+J96&lt;F109,J96,D110)</f>
        <v>35361</v>
      </c>
      <c r="F110" s="163">
        <f t="shared" si="28"/>
        <v>1161381</v>
      </c>
      <c r="G110" s="163">
        <f t="shared" si="29"/>
        <v>1179061.5</v>
      </c>
      <c r="H110" s="167">
        <f t="shared" si="30"/>
        <v>156492.55152629616</v>
      </c>
      <c r="I110" s="312">
        <f t="shared" si="31"/>
        <v>156492.55152629616</v>
      </c>
      <c r="J110" s="162">
        <f t="shared" si="18"/>
        <v>0</v>
      </c>
      <c r="K110" s="162"/>
      <c r="L110" s="330"/>
      <c r="M110" s="162">
        <f t="shared" si="19"/>
        <v>0</v>
      </c>
      <c r="N110" s="330"/>
      <c r="O110" s="162">
        <f t="shared" si="20"/>
        <v>0</v>
      </c>
      <c r="P110" s="162">
        <f t="shared" si="21"/>
        <v>0</v>
      </c>
    </row>
    <row r="111" spans="1:16">
      <c r="B111" s="9" t="str">
        <f t="shared" si="24"/>
        <v/>
      </c>
      <c r="C111" s="157">
        <f>IF(D93="","-",+C110+1)</f>
        <v>2020</v>
      </c>
      <c r="D111" s="158">
        <f>IF(F110+SUM(E$99:E110)=D$92,F110,D$92-SUM(E$99:E110))</f>
        <v>1161381</v>
      </c>
      <c r="E111" s="165">
        <f>IF(+J96&lt;F110,J96,D111)</f>
        <v>35361</v>
      </c>
      <c r="F111" s="163">
        <f t="shared" si="28"/>
        <v>1126020</v>
      </c>
      <c r="G111" s="163">
        <f t="shared" si="29"/>
        <v>1143700.5</v>
      </c>
      <c r="H111" s="167">
        <f t="shared" si="30"/>
        <v>152859.71914772951</v>
      </c>
      <c r="I111" s="312">
        <f t="shared" si="31"/>
        <v>152859.71914772951</v>
      </c>
      <c r="J111" s="162">
        <f t="shared" si="18"/>
        <v>0</v>
      </c>
      <c r="K111" s="162"/>
      <c r="L111" s="330"/>
      <c r="M111" s="162">
        <f t="shared" si="19"/>
        <v>0</v>
      </c>
      <c r="N111" s="330"/>
      <c r="O111" s="162">
        <f t="shared" si="20"/>
        <v>0</v>
      </c>
      <c r="P111" s="162">
        <f t="shared" si="21"/>
        <v>0</v>
      </c>
    </row>
    <row r="112" spans="1:16">
      <c r="B112" s="9" t="str">
        <f t="shared" si="24"/>
        <v/>
      </c>
      <c r="C112" s="157">
        <f>IF(D93="","-",+C111+1)</f>
        <v>2021</v>
      </c>
      <c r="D112" s="158">
        <f>IF(F111+SUM(E$99:E111)=D$92,F111,D$92-SUM(E$99:E111))</f>
        <v>1126020</v>
      </c>
      <c r="E112" s="165">
        <f>IF(+J96&lt;F111,J96,D112)</f>
        <v>35361</v>
      </c>
      <c r="F112" s="163">
        <f t="shared" si="28"/>
        <v>1090659</v>
      </c>
      <c r="G112" s="163">
        <f t="shared" si="29"/>
        <v>1108339.5</v>
      </c>
      <c r="H112" s="167">
        <f t="shared" si="30"/>
        <v>149226.88676916284</v>
      </c>
      <c r="I112" s="312">
        <f t="shared" si="31"/>
        <v>149226.88676916284</v>
      </c>
      <c r="J112" s="162">
        <f t="shared" si="18"/>
        <v>0</v>
      </c>
      <c r="K112" s="162"/>
      <c r="L112" s="330"/>
      <c r="M112" s="162">
        <f t="shared" si="19"/>
        <v>0</v>
      </c>
      <c r="N112" s="330"/>
      <c r="O112" s="162">
        <f t="shared" si="20"/>
        <v>0</v>
      </c>
      <c r="P112" s="162">
        <f t="shared" si="21"/>
        <v>0</v>
      </c>
    </row>
    <row r="113" spans="2:16">
      <c r="B113" s="9" t="str">
        <f t="shared" si="24"/>
        <v/>
      </c>
      <c r="C113" s="157">
        <f>IF(D93="","-",+C112+1)</f>
        <v>2022</v>
      </c>
      <c r="D113" s="158">
        <f>IF(F112+SUM(E$99:E112)=D$92,F112,D$92-SUM(E$99:E112))</f>
        <v>1090659</v>
      </c>
      <c r="E113" s="165">
        <f>IF(+J96&lt;F112,J96,D113)</f>
        <v>35361</v>
      </c>
      <c r="F113" s="163">
        <f t="shared" si="28"/>
        <v>1055298</v>
      </c>
      <c r="G113" s="163">
        <f t="shared" si="29"/>
        <v>1072978.5</v>
      </c>
      <c r="H113" s="167">
        <f t="shared" si="30"/>
        <v>145594.05439059623</v>
      </c>
      <c r="I113" s="312">
        <f t="shared" si="31"/>
        <v>145594.05439059623</v>
      </c>
      <c r="J113" s="162">
        <f t="shared" si="18"/>
        <v>0</v>
      </c>
      <c r="K113" s="162"/>
      <c r="L113" s="330"/>
      <c r="M113" s="162">
        <f t="shared" si="19"/>
        <v>0</v>
      </c>
      <c r="N113" s="330"/>
      <c r="O113" s="162">
        <f t="shared" si="20"/>
        <v>0</v>
      </c>
      <c r="P113" s="162">
        <f t="shared" si="21"/>
        <v>0</v>
      </c>
    </row>
    <row r="114" spans="2:16">
      <c r="B114" s="9" t="str">
        <f t="shared" si="24"/>
        <v/>
      </c>
      <c r="C114" s="157">
        <f>IF(D93="","-",+C113+1)</f>
        <v>2023</v>
      </c>
      <c r="D114" s="158">
        <f>IF(F113+SUM(E$99:E113)=D$92,F113,D$92-SUM(E$99:E113))</f>
        <v>1055298</v>
      </c>
      <c r="E114" s="165">
        <f>IF(+J96&lt;F113,J96,D114)</f>
        <v>35361</v>
      </c>
      <c r="F114" s="163">
        <f t="shared" si="28"/>
        <v>1019937</v>
      </c>
      <c r="G114" s="163">
        <f t="shared" si="29"/>
        <v>1037617.5</v>
      </c>
      <c r="H114" s="167">
        <f t="shared" si="30"/>
        <v>141961.22201202955</v>
      </c>
      <c r="I114" s="312">
        <f t="shared" si="31"/>
        <v>141961.22201202955</v>
      </c>
      <c r="J114" s="162">
        <f t="shared" si="18"/>
        <v>0</v>
      </c>
      <c r="K114" s="162"/>
      <c r="L114" s="330"/>
      <c r="M114" s="162">
        <f t="shared" si="19"/>
        <v>0</v>
      </c>
      <c r="N114" s="330"/>
      <c r="O114" s="162">
        <f t="shared" si="20"/>
        <v>0</v>
      </c>
      <c r="P114" s="162">
        <f t="shared" si="21"/>
        <v>0</v>
      </c>
    </row>
    <row r="115" spans="2:16">
      <c r="B115" s="9" t="str">
        <f t="shared" si="24"/>
        <v/>
      </c>
      <c r="C115" s="157">
        <f>IF(D93="","-",+C114+1)</f>
        <v>2024</v>
      </c>
      <c r="D115" s="158">
        <f>IF(F114+SUM(E$99:E114)=D$92,F114,D$92-SUM(E$99:E114))</f>
        <v>1019937</v>
      </c>
      <c r="E115" s="165">
        <f>IF(+J96&lt;F114,J96,D115)</f>
        <v>35361</v>
      </c>
      <c r="F115" s="163">
        <f t="shared" si="28"/>
        <v>984576</v>
      </c>
      <c r="G115" s="163">
        <f t="shared" si="29"/>
        <v>1002256.5</v>
      </c>
      <c r="H115" s="167">
        <f t="shared" si="30"/>
        <v>138328.38963346294</v>
      </c>
      <c r="I115" s="312">
        <f t="shared" si="31"/>
        <v>138328.38963346294</v>
      </c>
      <c r="J115" s="162">
        <f t="shared" si="18"/>
        <v>0</v>
      </c>
      <c r="K115" s="162"/>
      <c r="L115" s="330"/>
      <c r="M115" s="162">
        <f t="shared" si="19"/>
        <v>0</v>
      </c>
      <c r="N115" s="330"/>
      <c r="O115" s="162">
        <f t="shared" si="20"/>
        <v>0</v>
      </c>
      <c r="P115" s="162">
        <f t="shared" si="21"/>
        <v>0</v>
      </c>
    </row>
    <row r="116" spans="2:16">
      <c r="B116" s="9" t="str">
        <f t="shared" si="24"/>
        <v/>
      </c>
      <c r="C116" s="157">
        <f>IF(D93="","-",+C115+1)</f>
        <v>2025</v>
      </c>
      <c r="D116" s="158">
        <f>IF(F115+SUM(E$99:E115)=D$92,F115,D$92-SUM(E$99:E115))</f>
        <v>984576</v>
      </c>
      <c r="E116" s="165">
        <f>IF(+J96&lt;F115,J96,D116)</f>
        <v>35361</v>
      </c>
      <c r="F116" s="163">
        <f t="shared" si="28"/>
        <v>949215</v>
      </c>
      <c r="G116" s="163">
        <f t="shared" si="29"/>
        <v>966895.5</v>
      </c>
      <c r="H116" s="167">
        <f t="shared" si="30"/>
        <v>134695.55725489627</v>
      </c>
      <c r="I116" s="312">
        <f t="shared" si="31"/>
        <v>134695.55725489627</v>
      </c>
      <c r="J116" s="162">
        <f t="shared" si="18"/>
        <v>0</v>
      </c>
      <c r="K116" s="162"/>
      <c r="L116" s="330"/>
      <c r="M116" s="162">
        <f t="shared" si="19"/>
        <v>0</v>
      </c>
      <c r="N116" s="330"/>
      <c r="O116" s="162">
        <f t="shared" si="20"/>
        <v>0</v>
      </c>
      <c r="P116" s="162">
        <f t="shared" si="21"/>
        <v>0</v>
      </c>
    </row>
    <row r="117" spans="2:16">
      <c r="B117" s="9" t="str">
        <f t="shared" si="24"/>
        <v/>
      </c>
      <c r="C117" s="157">
        <f>IF(D93="","-",+C116+1)</f>
        <v>2026</v>
      </c>
      <c r="D117" s="158">
        <f>IF(F116+SUM(E$99:E116)=D$92,F116,D$92-SUM(E$99:E116))</f>
        <v>949215</v>
      </c>
      <c r="E117" s="165">
        <f>IF(+J96&lt;F116,J96,D117)</f>
        <v>35361</v>
      </c>
      <c r="F117" s="163">
        <f t="shared" si="28"/>
        <v>913854</v>
      </c>
      <c r="G117" s="163">
        <f t="shared" si="29"/>
        <v>931534.5</v>
      </c>
      <c r="H117" s="167">
        <f t="shared" si="30"/>
        <v>131062.72487632962</v>
      </c>
      <c r="I117" s="312">
        <f t="shared" si="31"/>
        <v>131062.72487632962</v>
      </c>
      <c r="J117" s="162">
        <f t="shared" si="18"/>
        <v>0</v>
      </c>
      <c r="K117" s="162"/>
      <c r="L117" s="330"/>
      <c r="M117" s="162">
        <f t="shared" si="19"/>
        <v>0</v>
      </c>
      <c r="N117" s="330"/>
      <c r="O117" s="162">
        <f t="shared" si="20"/>
        <v>0</v>
      </c>
      <c r="P117" s="162">
        <f t="shared" si="21"/>
        <v>0</v>
      </c>
    </row>
    <row r="118" spans="2:16">
      <c r="B118" s="9" t="str">
        <f t="shared" si="24"/>
        <v/>
      </c>
      <c r="C118" s="157">
        <f>IF(D93="","-",+C117+1)</f>
        <v>2027</v>
      </c>
      <c r="D118" s="158">
        <f>IF(F117+SUM(E$99:E117)=D$92,F117,D$92-SUM(E$99:E117))</f>
        <v>913854</v>
      </c>
      <c r="E118" s="165">
        <f>IF(+J96&lt;F117,J96,D118)</f>
        <v>35361</v>
      </c>
      <c r="F118" s="163">
        <f t="shared" si="28"/>
        <v>878493</v>
      </c>
      <c r="G118" s="163">
        <f t="shared" si="29"/>
        <v>896173.5</v>
      </c>
      <c r="H118" s="167">
        <f t="shared" si="30"/>
        <v>127429.89249776298</v>
      </c>
      <c r="I118" s="312">
        <f t="shared" si="31"/>
        <v>127429.89249776298</v>
      </c>
      <c r="J118" s="162">
        <f t="shared" si="18"/>
        <v>0</v>
      </c>
      <c r="K118" s="162"/>
      <c r="L118" s="330"/>
      <c r="M118" s="162">
        <f t="shared" si="19"/>
        <v>0</v>
      </c>
      <c r="N118" s="330"/>
      <c r="O118" s="162">
        <f t="shared" si="20"/>
        <v>0</v>
      </c>
      <c r="P118" s="162">
        <f t="shared" si="21"/>
        <v>0</v>
      </c>
    </row>
    <row r="119" spans="2:16">
      <c r="B119" s="9" t="str">
        <f t="shared" si="24"/>
        <v/>
      </c>
      <c r="C119" s="157">
        <f>IF(D93="","-",+C118+1)</f>
        <v>2028</v>
      </c>
      <c r="D119" s="158">
        <f>IF(F118+SUM(E$99:E118)=D$92,F118,D$92-SUM(E$99:E118))</f>
        <v>878493</v>
      </c>
      <c r="E119" s="165">
        <f>IF(+J96&lt;F118,J96,D119)</f>
        <v>35361</v>
      </c>
      <c r="F119" s="163">
        <f t="shared" si="28"/>
        <v>843132</v>
      </c>
      <c r="G119" s="163">
        <f t="shared" si="29"/>
        <v>860812.5</v>
      </c>
      <c r="H119" s="167">
        <f t="shared" si="30"/>
        <v>123797.06011919634</v>
      </c>
      <c r="I119" s="312">
        <f t="shared" si="31"/>
        <v>123797.06011919634</v>
      </c>
      <c r="J119" s="162">
        <f t="shared" si="18"/>
        <v>0</v>
      </c>
      <c r="K119" s="162"/>
      <c r="L119" s="330"/>
      <c r="M119" s="162">
        <f t="shared" si="19"/>
        <v>0</v>
      </c>
      <c r="N119" s="330"/>
      <c r="O119" s="162">
        <f t="shared" si="20"/>
        <v>0</v>
      </c>
      <c r="P119" s="162">
        <f t="shared" si="21"/>
        <v>0</v>
      </c>
    </row>
    <row r="120" spans="2:16">
      <c r="B120" s="9" t="str">
        <f t="shared" si="24"/>
        <v/>
      </c>
      <c r="C120" s="157">
        <f>IF(D93="","-",+C119+1)</f>
        <v>2029</v>
      </c>
      <c r="D120" s="158">
        <f>IF(F119+SUM(E$99:E119)=D$92,F119,D$92-SUM(E$99:E119))</f>
        <v>843132</v>
      </c>
      <c r="E120" s="165">
        <f>IF(+J96&lt;F119,J96,D120)</f>
        <v>35361</v>
      </c>
      <c r="F120" s="163">
        <f t="shared" si="28"/>
        <v>807771</v>
      </c>
      <c r="G120" s="163">
        <f t="shared" si="29"/>
        <v>825451.5</v>
      </c>
      <c r="H120" s="167">
        <f t="shared" si="30"/>
        <v>120164.22774062969</v>
      </c>
      <c r="I120" s="312">
        <f t="shared" si="31"/>
        <v>120164.22774062969</v>
      </c>
      <c r="J120" s="162">
        <f t="shared" si="18"/>
        <v>0</v>
      </c>
      <c r="K120" s="162"/>
      <c r="L120" s="330"/>
      <c r="M120" s="162">
        <f t="shared" si="19"/>
        <v>0</v>
      </c>
      <c r="N120" s="330"/>
      <c r="O120" s="162">
        <f t="shared" si="20"/>
        <v>0</v>
      </c>
      <c r="P120" s="162">
        <f t="shared" si="21"/>
        <v>0</v>
      </c>
    </row>
    <row r="121" spans="2:16">
      <c r="B121" s="9" t="str">
        <f t="shared" si="24"/>
        <v/>
      </c>
      <c r="C121" s="157">
        <f>IF(D93="","-",+C120+1)</f>
        <v>2030</v>
      </c>
      <c r="D121" s="158">
        <f>IF(F120+SUM(E$99:E120)=D$92,F120,D$92-SUM(E$99:E120))</f>
        <v>807771</v>
      </c>
      <c r="E121" s="165">
        <f>IF(+J96&lt;F120,J96,D121)</f>
        <v>35361</v>
      </c>
      <c r="F121" s="163">
        <f t="shared" si="28"/>
        <v>772410</v>
      </c>
      <c r="G121" s="163">
        <f t="shared" si="29"/>
        <v>790090.5</v>
      </c>
      <c r="H121" s="167">
        <f t="shared" si="30"/>
        <v>116531.39536206303</v>
      </c>
      <c r="I121" s="312">
        <f t="shared" si="31"/>
        <v>116531.39536206303</v>
      </c>
      <c r="J121" s="162">
        <f t="shared" si="18"/>
        <v>0</v>
      </c>
      <c r="K121" s="162"/>
      <c r="L121" s="330"/>
      <c r="M121" s="162">
        <f t="shared" si="19"/>
        <v>0</v>
      </c>
      <c r="N121" s="330"/>
      <c r="O121" s="162">
        <f t="shared" si="20"/>
        <v>0</v>
      </c>
      <c r="P121" s="162">
        <f t="shared" si="21"/>
        <v>0</v>
      </c>
    </row>
    <row r="122" spans="2:16">
      <c r="B122" s="9" t="str">
        <f t="shared" si="24"/>
        <v/>
      </c>
      <c r="C122" s="157">
        <f>IF(D93="","-",+C121+1)</f>
        <v>2031</v>
      </c>
      <c r="D122" s="158">
        <f>IF(F121+SUM(E$99:E121)=D$92,F121,D$92-SUM(E$99:E121))</f>
        <v>772410</v>
      </c>
      <c r="E122" s="165">
        <f>IF(+J96&lt;F121,J96,D122)</f>
        <v>35361</v>
      </c>
      <c r="F122" s="163">
        <f t="shared" si="28"/>
        <v>737049</v>
      </c>
      <c r="G122" s="163">
        <f t="shared" si="29"/>
        <v>754729.5</v>
      </c>
      <c r="H122" s="167">
        <f t="shared" si="30"/>
        <v>112898.56298349639</v>
      </c>
      <c r="I122" s="312">
        <f t="shared" si="31"/>
        <v>112898.56298349639</v>
      </c>
      <c r="J122" s="162">
        <f t="shared" si="18"/>
        <v>0</v>
      </c>
      <c r="K122" s="162"/>
      <c r="L122" s="330"/>
      <c r="M122" s="162">
        <f t="shared" si="19"/>
        <v>0</v>
      </c>
      <c r="N122" s="330"/>
      <c r="O122" s="162">
        <f t="shared" si="20"/>
        <v>0</v>
      </c>
      <c r="P122" s="162">
        <f t="shared" si="21"/>
        <v>0</v>
      </c>
    </row>
    <row r="123" spans="2:16">
      <c r="B123" s="9" t="str">
        <f t="shared" si="24"/>
        <v/>
      </c>
      <c r="C123" s="157">
        <f>IF(D93="","-",+C122+1)</f>
        <v>2032</v>
      </c>
      <c r="D123" s="158">
        <f>IF(F122+SUM(E$99:E122)=D$92,F122,D$92-SUM(E$99:E122))</f>
        <v>737049</v>
      </c>
      <c r="E123" s="165">
        <f>IF(+J96&lt;F122,J96,D123)</f>
        <v>35361</v>
      </c>
      <c r="F123" s="163">
        <f t="shared" si="28"/>
        <v>701688</v>
      </c>
      <c r="G123" s="163">
        <f t="shared" si="29"/>
        <v>719368.5</v>
      </c>
      <c r="H123" s="167">
        <f t="shared" si="30"/>
        <v>109265.73060492975</v>
      </c>
      <c r="I123" s="312">
        <f t="shared" si="31"/>
        <v>109265.73060492975</v>
      </c>
      <c r="J123" s="162">
        <f t="shared" si="18"/>
        <v>0</v>
      </c>
      <c r="K123" s="162"/>
      <c r="L123" s="330"/>
      <c r="M123" s="162">
        <f t="shared" si="19"/>
        <v>0</v>
      </c>
      <c r="N123" s="330"/>
      <c r="O123" s="162">
        <f t="shared" si="20"/>
        <v>0</v>
      </c>
      <c r="P123" s="162">
        <f t="shared" si="21"/>
        <v>0</v>
      </c>
    </row>
    <row r="124" spans="2:16">
      <c r="B124" s="9" t="str">
        <f t="shared" si="24"/>
        <v/>
      </c>
      <c r="C124" s="157">
        <f>IF(D93="","-",+C123+1)</f>
        <v>2033</v>
      </c>
      <c r="D124" s="158">
        <f>IF(F123+SUM(E$99:E123)=D$92,F123,D$92-SUM(E$99:E123))</f>
        <v>701688</v>
      </c>
      <c r="E124" s="165">
        <f>IF(+J96&lt;F123,J96,D124)</f>
        <v>35361</v>
      </c>
      <c r="F124" s="163">
        <f t="shared" si="28"/>
        <v>666327</v>
      </c>
      <c r="G124" s="163">
        <f t="shared" si="29"/>
        <v>684007.5</v>
      </c>
      <c r="H124" s="167">
        <f t="shared" si="30"/>
        <v>105632.8982263631</v>
      </c>
      <c r="I124" s="312">
        <f t="shared" si="31"/>
        <v>105632.8982263631</v>
      </c>
      <c r="J124" s="162">
        <f t="shared" si="18"/>
        <v>0</v>
      </c>
      <c r="K124" s="162"/>
      <c r="L124" s="330"/>
      <c r="M124" s="162">
        <f t="shared" si="19"/>
        <v>0</v>
      </c>
      <c r="N124" s="330"/>
      <c r="O124" s="162">
        <f t="shared" si="20"/>
        <v>0</v>
      </c>
      <c r="P124" s="162">
        <f t="shared" si="21"/>
        <v>0</v>
      </c>
    </row>
    <row r="125" spans="2:16">
      <c r="B125" s="9" t="str">
        <f t="shared" si="24"/>
        <v/>
      </c>
      <c r="C125" s="157">
        <f>IF(D93="","-",+C124+1)</f>
        <v>2034</v>
      </c>
      <c r="D125" s="158">
        <f>IF(F124+SUM(E$99:E124)=D$92,F124,D$92-SUM(E$99:E124))</f>
        <v>666327</v>
      </c>
      <c r="E125" s="165">
        <f>IF(+J96&lt;F124,J96,D125)</f>
        <v>35361</v>
      </c>
      <c r="F125" s="163">
        <f t="shared" si="28"/>
        <v>630966</v>
      </c>
      <c r="G125" s="163">
        <f t="shared" si="29"/>
        <v>648646.5</v>
      </c>
      <c r="H125" s="167">
        <f t="shared" si="30"/>
        <v>102000.06584779645</v>
      </c>
      <c r="I125" s="312">
        <f t="shared" si="31"/>
        <v>102000.06584779645</v>
      </c>
      <c r="J125" s="162">
        <f t="shared" si="18"/>
        <v>0</v>
      </c>
      <c r="K125" s="162"/>
      <c r="L125" s="330"/>
      <c r="M125" s="162">
        <f t="shared" si="19"/>
        <v>0</v>
      </c>
      <c r="N125" s="330"/>
      <c r="O125" s="162">
        <f t="shared" si="20"/>
        <v>0</v>
      </c>
      <c r="P125" s="162">
        <f t="shared" si="21"/>
        <v>0</v>
      </c>
    </row>
    <row r="126" spans="2:16">
      <c r="B126" s="9" t="str">
        <f t="shared" si="24"/>
        <v/>
      </c>
      <c r="C126" s="157">
        <f>IF(D93="","-",+C125+1)</f>
        <v>2035</v>
      </c>
      <c r="D126" s="158">
        <f>IF(F125+SUM(E$99:E125)=D$92,F125,D$92-SUM(E$99:E125))</f>
        <v>630966</v>
      </c>
      <c r="E126" s="165">
        <f>IF(+J96&lt;F125,J96,D126)</f>
        <v>35361</v>
      </c>
      <c r="F126" s="163">
        <f t="shared" si="28"/>
        <v>595605</v>
      </c>
      <c r="G126" s="163">
        <f t="shared" si="29"/>
        <v>613285.5</v>
      </c>
      <c r="H126" s="167">
        <f t="shared" si="30"/>
        <v>98367.233469229803</v>
      </c>
      <c r="I126" s="312">
        <f t="shared" si="31"/>
        <v>98367.233469229803</v>
      </c>
      <c r="J126" s="162">
        <f t="shared" si="18"/>
        <v>0</v>
      </c>
      <c r="K126" s="162"/>
      <c r="L126" s="330"/>
      <c r="M126" s="162">
        <f t="shared" si="19"/>
        <v>0</v>
      </c>
      <c r="N126" s="330"/>
      <c r="O126" s="162">
        <f t="shared" si="20"/>
        <v>0</v>
      </c>
      <c r="P126" s="162">
        <f t="shared" si="21"/>
        <v>0</v>
      </c>
    </row>
    <row r="127" spans="2:16">
      <c r="B127" s="9" t="str">
        <f t="shared" si="24"/>
        <v/>
      </c>
      <c r="C127" s="157">
        <f>IF(D93="","-",+C126+1)</f>
        <v>2036</v>
      </c>
      <c r="D127" s="158">
        <f>IF(F126+SUM(E$99:E126)=D$92,F126,D$92-SUM(E$99:E126))</f>
        <v>595605</v>
      </c>
      <c r="E127" s="165">
        <f>IF(+J96&lt;F126,J96,D127)</f>
        <v>35361</v>
      </c>
      <c r="F127" s="163">
        <f t="shared" si="28"/>
        <v>560244</v>
      </c>
      <c r="G127" s="163">
        <f t="shared" si="29"/>
        <v>577924.5</v>
      </c>
      <c r="H127" s="167">
        <f t="shared" si="30"/>
        <v>94734.401090663159</v>
      </c>
      <c r="I127" s="312">
        <f t="shared" si="31"/>
        <v>94734.401090663159</v>
      </c>
      <c r="J127" s="162">
        <f t="shared" si="18"/>
        <v>0</v>
      </c>
      <c r="K127" s="162"/>
      <c r="L127" s="330"/>
      <c r="M127" s="162">
        <f t="shared" si="19"/>
        <v>0</v>
      </c>
      <c r="N127" s="330"/>
      <c r="O127" s="162">
        <f t="shared" si="20"/>
        <v>0</v>
      </c>
      <c r="P127" s="162">
        <f t="shared" si="21"/>
        <v>0</v>
      </c>
    </row>
    <row r="128" spans="2:16">
      <c r="B128" s="9" t="str">
        <f t="shared" si="24"/>
        <v/>
      </c>
      <c r="C128" s="157">
        <f>IF(D93="","-",+C127+1)</f>
        <v>2037</v>
      </c>
      <c r="D128" s="158">
        <f>IF(F127+SUM(E$99:E127)=D$92,F127,D$92-SUM(E$99:E127))</f>
        <v>560244</v>
      </c>
      <c r="E128" s="165">
        <f>IF(+J96&lt;F127,J96,D128)</f>
        <v>35361</v>
      </c>
      <c r="F128" s="163">
        <f t="shared" si="28"/>
        <v>524883</v>
      </c>
      <c r="G128" s="163">
        <f t="shared" si="29"/>
        <v>542563.5</v>
      </c>
      <c r="H128" s="167">
        <f t="shared" si="30"/>
        <v>91101.568712096516</v>
      </c>
      <c r="I128" s="312">
        <f t="shared" si="31"/>
        <v>91101.568712096516</v>
      </c>
      <c r="J128" s="162">
        <f t="shared" si="18"/>
        <v>0</v>
      </c>
      <c r="K128" s="162"/>
      <c r="L128" s="330"/>
      <c r="M128" s="162">
        <f t="shared" si="19"/>
        <v>0</v>
      </c>
      <c r="N128" s="330"/>
      <c r="O128" s="162">
        <f t="shared" si="20"/>
        <v>0</v>
      </c>
      <c r="P128" s="162">
        <f t="shared" si="21"/>
        <v>0</v>
      </c>
    </row>
    <row r="129" spans="2:16">
      <c r="B129" s="9" t="str">
        <f t="shared" si="24"/>
        <v/>
      </c>
      <c r="C129" s="157">
        <f>IF(D93="","-",+C128+1)</f>
        <v>2038</v>
      </c>
      <c r="D129" s="158">
        <f>IF(F128+SUM(E$99:E128)=D$92,F128,D$92-SUM(E$99:E128))</f>
        <v>524883</v>
      </c>
      <c r="E129" s="165">
        <f>IF(+J96&lt;F128,J96,D129)</f>
        <v>35361</v>
      </c>
      <c r="F129" s="163">
        <f t="shared" si="28"/>
        <v>489522</v>
      </c>
      <c r="G129" s="163">
        <f t="shared" si="29"/>
        <v>507202.5</v>
      </c>
      <c r="H129" s="167">
        <f t="shared" si="30"/>
        <v>87468.736333529872</v>
      </c>
      <c r="I129" s="312">
        <f t="shared" si="31"/>
        <v>87468.736333529872</v>
      </c>
      <c r="J129" s="162">
        <f t="shared" si="18"/>
        <v>0</v>
      </c>
      <c r="K129" s="162"/>
      <c r="L129" s="330"/>
      <c r="M129" s="162">
        <f t="shared" si="19"/>
        <v>0</v>
      </c>
      <c r="N129" s="330"/>
      <c r="O129" s="162">
        <f t="shared" si="20"/>
        <v>0</v>
      </c>
      <c r="P129" s="162">
        <f t="shared" si="21"/>
        <v>0</v>
      </c>
    </row>
    <row r="130" spans="2:16">
      <c r="B130" s="9" t="str">
        <f t="shared" si="24"/>
        <v/>
      </c>
      <c r="C130" s="157">
        <f>IF(D93="","-",+C129+1)</f>
        <v>2039</v>
      </c>
      <c r="D130" s="158">
        <f>IF(F129+SUM(E$99:E129)=D$92,F129,D$92-SUM(E$99:E129))</f>
        <v>489522</v>
      </c>
      <c r="E130" s="165">
        <f>IF(+J96&lt;F129,J96,D130)</f>
        <v>35361</v>
      </c>
      <c r="F130" s="163">
        <f t="shared" si="28"/>
        <v>454161</v>
      </c>
      <c r="G130" s="163">
        <f t="shared" si="29"/>
        <v>471841.5</v>
      </c>
      <c r="H130" s="167">
        <f t="shared" si="30"/>
        <v>83835.903954963229</v>
      </c>
      <c r="I130" s="312">
        <f t="shared" si="31"/>
        <v>83835.903954963229</v>
      </c>
      <c r="J130" s="162">
        <f t="shared" si="18"/>
        <v>0</v>
      </c>
      <c r="K130" s="162"/>
      <c r="L130" s="330"/>
      <c r="M130" s="162">
        <f t="shared" si="19"/>
        <v>0</v>
      </c>
      <c r="N130" s="330"/>
      <c r="O130" s="162">
        <f t="shared" si="20"/>
        <v>0</v>
      </c>
      <c r="P130" s="162">
        <f t="shared" si="21"/>
        <v>0</v>
      </c>
    </row>
    <row r="131" spans="2:16">
      <c r="B131" s="9" t="str">
        <f t="shared" si="24"/>
        <v/>
      </c>
      <c r="C131" s="157">
        <f>IF(D93="","-",+C130+1)</f>
        <v>2040</v>
      </c>
      <c r="D131" s="158">
        <f>IF(F130+SUM(E$99:E130)=D$92,F130,D$92-SUM(E$99:E130))</f>
        <v>454161</v>
      </c>
      <c r="E131" s="165">
        <f>IF(+J96&lt;F130,J96,D131)</f>
        <v>35361</v>
      </c>
      <c r="F131" s="163">
        <f t="shared" ref="F131:F154" si="32">+D131-E131</f>
        <v>418800</v>
      </c>
      <c r="G131" s="163">
        <f t="shared" ref="G131:G154" si="33">+(F131+D131)/2</f>
        <v>436480.5</v>
      </c>
      <c r="H131" s="167">
        <f t="shared" si="30"/>
        <v>80203.071576396571</v>
      </c>
      <c r="I131" s="312">
        <f t="shared" si="31"/>
        <v>80203.071576396571</v>
      </c>
      <c r="J131" s="162">
        <f t="shared" ref="J131:J154" si="34">+I131-H131</f>
        <v>0</v>
      </c>
      <c r="K131" s="162"/>
      <c r="L131" s="330"/>
      <c r="M131" s="162">
        <f t="shared" ref="M131:M154" si="35">IF(L131&lt;&gt;0,+H131-L131,0)</f>
        <v>0</v>
      </c>
      <c r="N131" s="330"/>
      <c r="O131" s="162">
        <f t="shared" ref="O131:O154" si="36">IF(N131&lt;&gt;0,+I131-N131,0)</f>
        <v>0</v>
      </c>
      <c r="P131" s="162">
        <f t="shared" ref="P131:P154" si="37">+O131-M131</f>
        <v>0</v>
      </c>
    </row>
    <row r="132" spans="2:16">
      <c r="B132" s="9" t="str">
        <f t="shared" si="24"/>
        <v/>
      </c>
      <c r="C132" s="157">
        <f>IF(D93="","-",+C131+1)</f>
        <v>2041</v>
      </c>
      <c r="D132" s="158">
        <f>IF(F131+SUM(E$99:E131)=D$92,F131,D$92-SUM(E$99:E131))</f>
        <v>418800</v>
      </c>
      <c r="E132" s="165">
        <f>IF(+J96&lt;F131,J96,D132)</f>
        <v>35361</v>
      </c>
      <c r="F132" s="163">
        <f t="shared" si="32"/>
        <v>383439</v>
      </c>
      <c r="G132" s="163">
        <f t="shared" si="33"/>
        <v>401119.5</v>
      </c>
      <c r="H132" s="167">
        <f t="shared" si="30"/>
        <v>76570.239197829927</v>
      </c>
      <c r="I132" s="312">
        <f t="shared" si="31"/>
        <v>76570.239197829927</v>
      </c>
      <c r="J132" s="162">
        <f t="shared" si="34"/>
        <v>0</v>
      </c>
      <c r="K132" s="162"/>
      <c r="L132" s="330"/>
      <c r="M132" s="162">
        <f t="shared" si="35"/>
        <v>0</v>
      </c>
      <c r="N132" s="330"/>
      <c r="O132" s="162">
        <f t="shared" si="36"/>
        <v>0</v>
      </c>
      <c r="P132" s="162">
        <f t="shared" si="37"/>
        <v>0</v>
      </c>
    </row>
    <row r="133" spans="2:16">
      <c r="B133" s="9" t="str">
        <f t="shared" si="24"/>
        <v/>
      </c>
      <c r="C133" s="157">
        <f>IF(D93="","-",+C132+1)</f>
        <v>2042</v>
      </c>
      <c r="D133" s="158">
        <f>IF(F132+SUM(E$99:E132)=D$92,F132,D$92-SUM(E$99:E132))</f>
        <v>383439</v>
      </c>
      <c r="E133" s="165">
        <f>IF(+J96&lt;F132,J96,D133)</f>
        <v>35361</v>
      </c>
      <c r="F133" s="163">
        <f t="shared" si="32"/>
        <v>348078</v>
      </c>
      <c r="G133" s="163">
        <f t="shared" si="33"/>
        <v>365758.5</v>
      </c>
      <c r="H133" s="167">
        <f t="shared" si="30"/>
        <v>72937.406819263269</v>
      </c>
      <c r="I133" s="312">
        <f t="shared" si="31"/>
        <v>72937.406819263269</v>
      </c>
      <c r="J133" s="162">
        <f t="shared" si="34"/>
        <v>0</v>
      </c>
      <c r="K133" s="162"/>
      <c r="L133" s="330"/>
      <c r="M133" s="162">
        <f t="shared" si="35"/>
        <v>0</v>
      </c>
      <c r="N133" s="330"/>
      <c r="O133" s="162">
        <f t="shared" si="36"/>
        <v>0</v>
      </c>
      <c r="P133" s="162">
        <f t="shared" si="37"/>
        <v>0</v>
      </c>
    </row>
    <row r="134" spans="2:16">
      <c r="B134" s="9" t="str">
        <f t="shared" si="24"/>
        <v/>
      </c>
      <c r="C134" s="157">
        <f>IF(D93="","-",+C133+1)</f>
        <v>2043</v>
      </c>
      <c r="D134" s="158">
        <f>IF(F133+SUM(E$99:E133)=D$92,F133,D$92-SUM(E$99:E133))</f>
        <v>348078</v>
      </c>
      <c r="E134" s="165">
        <f>IF(+J96&lt;F133,J96,D134)</f>
        <v>35361</v>
      </c>
      <c r="F134" s="163">
        <f t="shared" si="32"/>
        <v>312717</v>
      </c>
      <c r="G134" s="163">
        <f t="shared" si="33"/>
        <v>330397.5</v>
      </c>
      <c r="H134" s="167">
        <f t="shared" si="30"/>
        <v>69304.574440696626</v>
      </c>
      <c r="I134" s="312">
        <f t="shared" si="31"/>
        <v>69304.574440696626</v>
      </c>
      <c r="J134" s="162">
        <f t="shared" si="34"/>
        <v>0</v>
      </c>
      <c r="K134" s="162"/>
      <c r="L134" s="330"/>
      <c r="M134" s="162">
        <f t="shared" si="35"/>
        <v>0</v>
      </c>
      <c r="N134" s="330"/>
      <c r="O134" s="162">
        <f t="shared" si="36"/>
        <v>0</v>
      </c>
      <c r="P134" s="162">
        <f t="shared" si="37"/>
        <v>0</v>
      </c>
    </row>
    <row r="135" spans="2:16">
      <c r="B135" s="9" t="str">
        <f t="shared" si="24"/>
        <v/>
      </c>
      <c r="C135" s="157">
        <f>IF(D93="","-",+C134+1)</f>
        <v>2044</v>
      </c>
      <c r="D135" s="158">
        <f>IF(F134+SUM(E$99:E134)=D$92,F134,D$92-SUM(E$99:E134))</f>
        <v>312717</v>
      </c>
      <c r="E135" s="165">
        <f>IF(+J96&lt;F134,J96,D135)</f>
        <v>35361</v>
      </c>
      <c r="F135" s="163">
        <f t="shared" si="32"/>
        <v>277356</v>
      </c>
      <c r="G135" s="163">
        <f t="shared" si="33"/>
        <v>295036.5</v>
      </c>
      <c r="H135" s="167">
        <f t="shared" si="30"/>
        <v>65671.742062129983</v>
      </c>
      <c r="I135" s="312">
        <f t="shared" si="31"/>
        <v>65671.742062129983</v>
      </c>
      <c r="J135" s="162">
        <f t="shared" si="34"/>
        <v>0</v>
      </c>
      <c r="K135" s="162"/>
      <c r="L135" s="330"/>
      <c r="M135" s="162">
        <f t="shared" si="35"/>
        <v>0</v>
      </c>
      <c r="N135" s="330"/>
      <c r="O135" s="162">
        <f t="shared" si="36"/>
        <v>0</v>
      </c>
      <c r="P135" s="162">
        <f t="shared" si="37"/>
        <v>0</v>
      </c>
    </row>
    <row r="136" spans="2:16">
      <c r="B136" s="9" t="str">
        <f t="shared" si="24"/>
        <v/>
      </c>
      <c r="C136" s="157">
        <f>IF(D93="","-",+C135+1)</f>
        <v>2045</v>
      </c>
      <c r="D136" s="158">
        <f>IF(F135+SUM(E$99:E135)=D$92,F135,D$92-SUM(E$99:E135))</f>
        <v>277356</v>
      </c>
      <c r="E136" s="165">
        <f>IF(+J96&lt;F135,J96,D136)</f>
        <v>35361</v>
      </c>
      <c r="F136" s="163">
        <f t="shared" si="32"/>
        <v>241995</v>
      </c>
      <c r="G136" s="163">
        <f t="shared" si="33"/>
        <v>259675.5</v>
      </c>
      <c r="H136" s="167">
        <f t="shared" si="30"/>
        <v>62038.909683563339</v>
      </c>
      <c r="I136" s="312">
        <f t="shared" si="31"/>
        <v>62038.909683563339</v>
      </c>
      <c r="J136" s="162">
        <f t="shared" si="34"/>
        <v>0</v>
      </c>
      <c r="K136" s="162"/>
      <c r="L136" s="330"/>
      <c r="M136" s="162">
        <f t="shared" si="35"/>
        <v>0</v>
      </c>
      <c r="N136" s="330"/>
      <c r="O136" s="162">
        <f t="shared" si="36"/>
        <v>0</v>
      </c>
      <c r="P136" s="162">
        <f t="shared" si="37"/>
        <v>0</v>
      </c>
    </row>
    <row r="137" spans="2:16">
      <c r="B137" s="9" t="str">
        <f t="shared" si="24"/>
        <v/>
      </c>
      <c r="C137" s="157">
        <f>IF(D93="","-",+C136+1)</f>
        <v>2046</v>
      </c>
      <c r="D137" s="158">
        <f>IF(F136+SUM(E$99:E136)=D$92,F136,D$92-SUM(E$99:E136))</f>
        <v>241995</v>
      </c>
      <c r="E137" s="165">
        <f>IF(+J96&lt;F136,J96,D137)</f>
        <v>35361</v>
      </c>
      <c r="F137" s="163">
        <f t="shared" si="32"/>
        <v>206634</v>
      </c>
      <c r="G137" s="163">
        <f t="shared" si="33"/>
        <v>224314.5</v>
      </c>
      <c r="H137" s="167">
        <f t="shared" si="30"/>
        <v>58406.077304996696</v>
      </c>
      <c r="I137" s="312">
        <f t="shared" si="31"/>
        <v>58406.077304996696</v>
      </c>
      <c r="J137" s="162">
        <f t="shared" si="34"/>
        <v>0</v>
      </c>
      <c r="K137" s="162"/>
      <c r="L137" s="330"/>
      <c r="M137" s="162">
        <f t="shared" si="35"/>
        <v>0</v>
      </c>
      <c r="N137" s="330"/>
      <c r="O137" s="162">
        <f t="shared" si="36"/>
        <v>0</v>
      </c>
      <c r="P137" s="162">
        <f t="shared" si="37"/>
        <v>0</v>
      </c>
    </row>
    <row r="138" spans="2:16">
      <c r="B138" s="9" t="str">
        <f t="shared" si="24"/>
        <v/>
      </c>
      <c r="C138" s="157">
        <f>IF(D93="","-",+C137+1)</f>
        <v>2047</v>
      </c>
      <c r="D138" s="158">
        <f>IF(F137+SUM(E$99:E137)=D$92,F137,D$92-SUM(E$99:E137))</f>
        <v>206634</v>
      </c>
      <c r="E138" s="165">
        <f>IF(+J96&lt;F137,J96,D138)</f>
        <v>35361</v>
      </c>
      <c r="F138" s="163">
        <f t="shared" si="32"/>
        <v>171273</v>
      </c>
      <c r="G138" s="163">
        <f t="shared" si="33"/>
        <v>188953.5</v>
      </c>
      <c r="H138" s="167">
        <f t="shared" si="30"/>
        <v>54773.244926430045</v>
      </c>
      <c r="I138" s="312">
        <f t="shared" si="31"/>
        <v>54773.244926430045</v>
      </c>
      <c r="J138" s="162">
        <f t="shared" si="34"/>
        <v>0</v>
      </c>
      <c r="K138" s="162"/>
      <c r="L138" s="330"/>
      <c r="M138" s="162">
        <f t="shared" si="35"/>
        <v>0</v>
      </c>
      <c r="N138" s="330"/>
      <c r="O138" s="162">
        <f t="shared" si="36"/>
        <v>0</v>
      </c>
      <c r="P138" s="162">
        <f t="shared" si="37"/>
        <v>0</v>
      </c>
    </row>
    <row r="139" spans="2:16">
      <c r="B139" s="9" t="str">
        <f t="shared" si="24"/>
        <v/>
      </c>
      <c r="C139" s="157">
        <f>IF(D93="","-",+C138+1)</f>
        <v>2048</v>
      </c>
      <c r="D139" s="158">
        <f>IF(F138+SUM(E$99:E138)=D$92,F138,D$92-SUM(E$99:E138))</f>
        <v>171273</v>
      </c>
      <c r="E139" s="165">
        <f>IF(+J96&lt;F138,J96,D139)</f>
        <v>35361</v>
      </c>
      <c r="F139" s="163">
        <f t="shared" si="32"/>
        <v>135912</v>
      </c>
      <c r="G139" s="163">
        <f t="shared" si="33"/>
        <v>153592.5</v>
      </c>
      <c r="H139" s="167">
        <f t="shared" si="30"/>
        <v>51140.412547863401</v>
      </c>
      <c r="I139" s="312">
        <f t="shared" si="31"/>
        <v>51140.412547863401</v>
      </c>
      <c r="J139" s="162">
        <f t="shared" si="34"/>
        <v>0</v>
      </c>
      <c r="K139" s="162"/>
      <c r="L139" s="330"/>
      <c r="M139" s="162">
        <f t="shared" si="35"/>
        <v>0</v>
      </c>
      <c r="N139" s="330"/>
      <c r="O139" s="162">
        <f t="shared" si="36"/>
        <v>0</v>
      </c>
      <c r="P139" s="162">
        <f t="shared" si="37"/>
        <v>0</v>
      </c>
    </row>
    <row r="140" spans="2:16">
      <c r="B140" s="9" t="str">
        <f t="shared" si="24"/>
        <v/>
      </c>
      <c r="C140" s="157">
        <f>IF(D93="","-",+C139+1)</f>
        <v>2049</v>
      </c>
      <c r="D140" s="158">
        <f>IF(F139+SUM(E$99:E139)=D$92,F139,D$92-SUM(E$99:E139))</f>
        <v>135912</v>
      </c>
      <c r="E140" s="165">
        <f>IF(+J96&lt;F139,J96,D140)</f>
        <v>35361</v>
      </c>
      <c r="F140" s="163">
        <f t="shared" si="32"/>
        <v>100551</v>
      </c>
      <c r="G140" s="163">
        <f t="shared" si="33"/>
        <v>118231.5</v>
      </c>
      <c r="H140" s="167">
        <f t="shared" si="30"/>
        <v>47507.580169296751</v>
      </c>
      <c r="I140" s="312">
        <f t="shared" si="31"/>
        <v>47507.580169296751</v>
      </c>
      <c r="J140" s="162">
        <f t="shared" si="34"/>
        <v>0</v>
      </c>
      <c r="K140" s="162"/>
      <c r="L140" s="330"/>
      <c r="M140" s="162">
        <f t="shared" si="35"/>
        <v>0</v>
      </c>
      <c r="N140" s="330"/>
      <c r="O140" s="162">
        <f t="shared" si="36"/>
        <v>0</v>
      </c>
      <c r="P140" s="162">
        <f t="shared" si="37"/>
        <v>0</v>
      </c>
    </row>
    <row r="141" spans="2:16">
      <c r="B141" s="9" t="str">
        <f t="shared" si="24"/>
        <v/>
      </c>
      <c r="C141" s="157">
        <f>IF(D93="","-",+C140+1)</f>
        <v>2050</v>
      </c>
      <c r="D141" s="158">
        <f>IF(F140+SUM(E$99:E140)=D$92,F140,D$92-SUM(E$99:E140))</f>
        <v>100551</v>
      </c>
      <c r="E141" s="165">
        <f>IF(+J96&lt;F140,J96,D141)</f>
        <v>35361</v>
      </c>
      <c r="F141" s="163">
        <f t="shared" si="32"/>
        <v>65190</v>
      </c>
      <c r="G141" s="163">
        <f t="shared" si="33"/>
        <v>82870.5</v>
      </c>
      <c r="H141" s="167">
        <f t="shared" si="30"/>
        <v>43874.747790730107</v>
      </c>
      <c r="I141" s="312">
        <f t="shared" si="31"/>
        <v>43874.747790730107</v>
      </c>
      <c r="J141" s="162">
        <f t="shared" si="34"/>
        <v>0</v>
      </c>
      <c r="K141" s="162"/>
      <c r="L141" s="330"/>
      <c r="M141" s="162">
        <f t="shared" si="35"/>
        <v>0</v>
      </c>
      <c r="N141" s="330"/>
      <c r="O141" s="162">
        <f t="shared" si="36"/>
        <v>0</v>
      </c>
      <c r="P141" s="162">
        <f t="shared" si="37"/>
        <v>0</v>
      </c>
    </row>
    <row r="142" spans="2:16">
      <c r="B142" s="9" t="str">
        <f t="shared" si="24"/>
        <v/>
      </c>
      <c r="C142" s="157">
        <f>IF(D93="","-",+C141+1)</f>
        <v>2051</v>
      </c>
      <c r="D142" s="158">
        <f>IF(F141+SUM(E$99:E141)=D$92,F141,D$92-SUM(E$99:E141))</f>
        <v>65190</v>
      </c>
      <c r="E142" s="165">
        <f>IF(+J96&lt;F141,J96,D142)</f>
        <v>35361</v>
      </c>
      <c r="F142" s="163">
        <f t="shared" si="32"/>
        <v>29829</v>
      </c>
      <c r="G142" s="163">
        <f t="shared" si="33"/>
        <v>47509.5</v>
      </c>
      <c r="H142" s="167">
        <f t="shared" si="30"/>
        <v>40241.915412163464</v>
      </c>
      <c r="I142" s="312">
        <f t="shared" si="31"/>
        <v>40241.915412163464</v>
      </c>
      <c r="J142" s="162">
        <f t="shared" si="34"/>
        <v>0</v>
      </c>
      <c r="K142" s="162"/>
      <c r="L142" s="330"/>
      <c r="M142" s="162">
        <f t="shared" si="35"/>
        <v>0</v>
      </c>
      <c r="N142" s="330"/>
      <c r="O142" s="162">
        <f t="shared" si="36"/>
        <v>0</v>
      </c>
      <c r="P142" s="162">
        <f t="shared" si="37"/>
        <v>0</v>
      </c>
    </row>
    <row r="143" spans="2:16">
      <c r="B143" s="9" t="str">
        <f t="shared" si="24"/>
        <v/>
      </c>
      <c r="C143" s="157">
        <f>IF(D93="","-",+C142+1)</f>
        <v>2052</v>
      </c>
      <c r="D143" s="158">
        <f>IF(F142+SUM(E$99:E142)=D$92,F142,D$92-SUM(E$99:E142))</f>
        <v>29829</v>
      </c>
      <c r="E143" s="165">
        <f>IF(+J96&lt;F142,J96,D143)</f>
        <v>29829</v>
      </c>
      <c r="F143" s="163">
        <f t="shared" si="32"/>
        <v>0</v>
      </c>
      <c r="G143" s="163">
        <f t="shared" si="33"/>
        <v>14914.5</v>
      </c>
      <c r="H143" s="167">
        <f t="shared" si="30"/>
        <v>31361.249611440067</v>
      </c>
      <c r="I143" s="312">
        <f t="shared" si="31"/>
        <v>31361.249611440067</v>
      </c>
      <c r="J143" s="162">
        <f t="shared" si="34"/>
        <v>0</v>
      </c>
      <c r="K143" s="162"/>
      <c r="L143" s="330"/>
      <c r="M143" s="162">
        <f t="shared" si="35"/>
        <v>0</v>
      </c>
      <c r="N143" s="330"/>
      <c r="O143" s="162">
        <f t="shared" si="36"/>
        <v>0</v>
      </c>
      <c r="P143" s="162">
        <f t="shared" si="37"/>
        <v>0</v>
      </c>
    </row>
    <row r="144" spans="2:16">
      <c r="B144" s="9" t="str">
        <f t="shared" si="24"/>
        <v/>
      </c>
      <c r="C144" s="157">
        <f>IF(D93="","-",+C143+1)</f>
        <v>2053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2"/>
        <v>0</v>
      </c>
      <c r="G144" s="163">
        <f t="shared" si="33"/>
        <v>0</v>
      </c>
      <c r="H144" s="167">
        <f t="shared" si="30"/>
        <v>0</v>
      </c>
      <c r="I144" s="312">
        <f t="shared" si="31"/>
        <v>0</v>
      </c>
      <c r="J144" s="162">
        <f t="shared" si="34"/>
        <v>0</v>
      </c>
      <c r="K144" s="162"/>
      <c r="L144" s="330"/>
      <c r="M144" s="162">
        <f t="shared" si="35"/>
        <v>0</v>
      </c>
      <c r="N144" s="330"/>
      <c r="O144" s="162">
        <f t="shared" si="36"/>
        <v>0</v>
      </c>
      <c r="P144" s="162">
        <f t="shared" si="37"/>
        <v>0</v>
      </c>
    </row>
    <row r="145" spans="2:16">
      <c r="B145" s="9" t="str">
        <f t="shared" si="24"/>
        <v/>
      </c>
      <c r="C145" s="157">
        <f>IF(D93="","-",+C144+1)</f>
        <v>2054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2"/>
        <v>0</v>
      </c>
      <c r="G145" s="163">
        <f t="shared" si="33"/>
        <v>0</v>
      </c>
      <c r="H145" s="167">
        <f t="shared" si="30"/>
        <v>0</v>
      </c>
      <c r="I145" s="312">
        <f t="shared" si="31"/>
        <v>0</v>
      </c>
      <c r="J145" s="162">
        <f t="shared" si="34"/>
        <v>0</v>
      </c>
      <c r="K145" s="162"/>
      <c r="L145" s="330"/>
      <c r="M145" s="162">
        <f t="shared" si="35"/>
        <v>0</v>
      </c>
      <c r="N145" s="330"/>
      <c r="O145" s="162">
        <f t="shared" si="36"/>
        <v>0</v>
      </c>
      <c r="P145" s="162">
        <f t="shared" si="37"/>
        <v>0</v>
      </c>
    </row>
    <row r="146" spans="2:16">
      <c r="B146" s="9" t="str">
        <f t="shared" si="24"/>
        <v/>
      </c>
      <c r="C146" s="157">
        <f>IF(D93="","-",+C145+1)</f>
        <v>2055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2"/>
        <v>0</v>
      </c>
      <c r="G146" s="163">
        <f t="shared" si="33"/>
        <v>0</v>
      </c>
      <c r="H146" s="167">
        <f t="shared" si="30"/>
        <v>0</v>
      </c>
      <c r="I146" s="312">
        <f t="shared" si="31"/>
        <v>0</v>
      </c>
      <c r="J146" s="162">
        <f t="shared" si="34"/>
        <v>0</v>
      </c>
      <c r="K146" s="162"/>
      <c r="L146" s="330"/>
      <c r="M146" s="162">
        <f t="shared" si="35"/>
        <v>0</v>
      </c>
      <c r="N146" s="330"/>
      <c r="O146" s="162">
        <f t="shared" si="36"/>
        <v>0</v>
      </c>
      <c r="P146" s="162">
        <f t="shared" si="37"/>
        <v>0</v>
      </c>
    </row>
    <row r="147" spans="2:16">
      <c r="B147" s="9" t="str">
        <f t="shared" si="24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2"/>
        <v>0</v>
      </c>
      <c r="G147" s="163">
        <f t="shared" si="33"/>
        <v>0</v>
      </c>
      <c r="H147" s="167">
        <f t="shared" si="30"/>
        <v>0</v>
      </c>
      <c r="I147" s="312">
        <f t="shared" si="31"/>
        <v>0</v>
      </c>
      <c r="J147" s="162">
        <f t="shared" si="34"/>
        <v>0</v>
      </c>
      <c r="K147" s="162"/>
      <c r="L147" s="330"/>
      <c r="M147" s="162">
        <f t="shared" si="35"/>
        <v>0</v>
      </c>
      <c r="N147" s="330"/>
      <c r="O147" s="162">
        <f t="shared" si="36"/>
        <v>0</v>
      </c>
      <c r="P147" s="162">
        <f t="shared" si="37"/>
        <v>0</v>
      </c>
    </row>
    <row r="148" spans="2:16">
      <c r="B148" s="9" t="str">
        <f t="shared" si="24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2"/>
        <v>0</v>
      </c>
      <c r="G148" s="163">
        <f t="shared" si="33"/>
        <v>0</v>
      </c>
      <c r="H148" s="167">
        <f t="shared" si="30"/>
        <v>0</v>
      </c>
      <c r="I148" s="312">
        <f t="shared" si="31"/>
        <v>0</v>
      </c>
      <c r="J148" s="162">
        <f t="shared" si="34"/>
        <v>0</v>
      </c>
      <c r="K148" s="162"/>
      <c r="L148" s="330"/>
      <c r="M148" s="162">
        <f t="shared" si="35"/>
        <v>0</v>
      </c>
      <c r="N148" s="330"/>
      <c r="O148" s="162">
        <f t="shared" si="36"/>
        <v>0</v>
      </c>
      <c r="P148" s="162">
        <f t="shared" si="37"/>
        <v>0</v>
      </c>
    </row>
    <row r="149" spans="2:16">
      <c r="B149" s="9" t="str">
        <f t="shared" si="24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2"/>
        <v>0</v>
      </c>
      <c r="G149" s="163">
        <f t="shared" si="33"/>
        <v>0</v>
      </c>
      <c r="H149" s="167">
        <f t="shared" si="30"/>
        <v>0</v>
      </c>
      <c r="I149" s="312">
        <f t="shared" si="31"/>
        <v>0</v>
      </c>
      <c r="J149" s="162">
        <f t="shared" si="34"/>
        <v>0</v>
      </c>
      <c r="K149" s="162"/>
      <c r="L149" s="330"/>
      <c r="M149" s="162">
        <f t="shared" si="35"/>
        <v>0</v>
      </c>
      <c r="N149" s="330"/>
      <c r="O149" s="162">
        <f t="shared" si="36"/>
        <v>0</v>
      </c>
      <c r="P149" s="162">
        <f t="shared" si="37"/>
        <v>0</v>
      </c>
    </row>
    <row r="150" spans="2:16">
      <c r="B150" s="9" t="str">
        <f t="shared" si="24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2"/>
        <v>0</v>
      </c>
      <c r="G150" s="163">
        <f t="shared" si="33"/>
        <v>0</v>
      </c>
      <c r="H150" s="167">
        <f t="shared" si="30"/>
        <v>0</v>
      </c>
      <c r="I150" s="312">
        <f t="shared" si="31"/>
        <v>0</v>
      </c>
      <c r="J150" s="162">
        <f t="shared" si="34"/>
        <v>0</v>
      </c>
      <c r="K150" s="162"/>
      <c r="L150" s="330"/>
      <c r="M150" s="162">
        <f t="shared" si="35"/>
        <v>0</v>
      </c>
      <c r="N150" s="330"/>
      <c r="O150" s="162">
        <f t="shared" si="36"/>
        <v>0</v>
      </c>
      <c r="P150" s="162">
        <f t="shared" si="37"/>
        <v>0</v>
      </c>
    </row>
    <row r="151" spans="2:16">
      <c r="B151" s="9" t="str">
        <f t="shared" si="24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2"/>
        <v>0</v>
      </c>
      <c r="G151" s="163">
        <f t="shared" si="33"/>
        <v>0</v>
      </c>
      <c r="H151" s="167">
        <f t="shared" si="30"/>
        <v>0</v>
      </c>
      <c r="I151" s="312">
        <f t="shared" si="31"/>
        <v>0</v>
      </c>
      <c r="J151" s="162">
        <f t="shared" si="34"/>
        <v>0</v>
      </c>
      <c r="K151" s="162"/>
      <c r="L151" s="330"/>
      <c r="M151" s="162">
        <f t="shared" si="35"/>
        <v>0</v>
      </c>
      <c r="N151" s="330"/>
      <c r="O151" s="162">
        <f t="shared" si="36"/>
        <v>0</v>
      </c>
      <c r="P151" s="162">
        <f t="shared" si="37"/>
        <v>0</v>
      </c>
    </row>
    <row r="152" spans="2:16">
      <c r="B152" s="9" t="str">
        <f t="shared" si="24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2"/>
        <v>0</v>
      </c>
      <c r="G152" s="163">
        <f t="shared" si="33"/>
        <v>0</v>
      </c>
      <c r="H152" s="167">
        <f t="shared" si="30"/>
        <v>0</v>
      </c>
      <c r="I152" s="312">
        <f t="shared" si="31"/>
        <v>0</v>
      </c>
      <c r="J152" s="162">
        <f t="shared" si="34"/>
        <v>0</v>
      </c>
      <c r="K152" s="162"/>
      <c r="L152" s="330"/>
      <c r="M152" s="162">
        <f t="shared" si="35"/>
        <v>0</v>
      </c>
      <c r="N152" s="330"/>
      <c r="O152" s="162">
        <f t="shared" si="36"/>
        <v>0</v>
      </c>
      <c r="P152" s="162">
        <f t="shared" si="37"/>
        <v>0</v>
      </c>
    </row>
    <row r="153" spans="2:16">
      <c r="B153" s="9" t="str">
        <f t="shared" si="24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2"/>
        <v>0</v>
      </c>
      <c r="G153" s="163">
        <f t="shared" si="33"/>
        <v>0</v>
      </c>
      <c r="H153" s="167">
        <f t="shared" si="30"/>
        <v>0</v>
      </c>
      <c r="I153" s="312">
        <f t="shared" si="31"/>
        <v>0</v>
      </c>
      <c r="J153" s="162">
        <f t="shared" si="34"/>
        <v>0</v>
      </c>
      <c r="K153" s="162"/>
      <c r="L153" s="330"/>
      <c r="M153" s="162">
        <f t="shared" si="35"/>
        <v>0</v>
      </c>
      <c r="N153" s="330"/>
      <c r="O153" s="162">
        <f t="shared" si="36"/>
        <v>0</v>
      </c>
      <c r="P153" s="162">
        <f t="shared" si="37"/>
        <v>0</v>
      </c>
    </row>
    <row r="154" spans="2:16" ht="13.5" thickBot="1">
      <c r="B154" s="9" t="str">
        <f t="shared" si="24"/>
        <v/>
      </c>
      <c r="C154" s="168">
        <f>IF(D93="","-",+C153+1)</f>
        <v>2063</v>
      </c>
      <c r="D154" s="219">
        <f>IF(F153+SUM(E$99:E153)=D$92,F153,D$92-SUM(E$99:E153))</f>
        <v>0</v>
      </c>
      <c r="E154" s="372">
        <f>IF(+J96&lt;F153,J96,D154)</f>
        <v>0</v>
      </c>
      <c r="F154" s="169">
        <f t="shared" si="32"/>
        <v>0</v>
      </c>
      <c r="G154" s="169">
        <f t="shared" si="33"/>
        <v>0</v>
      </c>
      <c r="H154" s="171">
        <f t="shared" si="30"/>
        <v>0</v>
      </c>
      <c r="I154" s="313">
        <f t="shared" si="31"/>
        <v>0</v>
      </c>
      <c r="J154" s="173">
        <f t="shared" si="34"/>
        <v>0</v>
      </c>
      <c r="K154" s="162"/>
      <c r="L154" s="331"/>
      <c r="M154" s="173">
        <f t="shared" si="35"/>
        <v>0</v>
      </c>
      <c r="N154" s="331"/>
      <c r="O154" s="173">
        <f t="shared" si="36"/>
        <v>0</v>
      </c>
      <c r="P154" s="173">
        <f t="shared" si="37"/>
        <v>0</v>
      </c>
    </row>
    <row r="155" spans="2:16">
      <c r="C155" s="158" t="s">
        <v>77</v>
      </c>
      <c r="D155" s="115"/>
      <c r="E155" s="115">
        <f>SUM(E99:E154)</f>
        <v>1520502</v>
      </c>
      <c r="F155" s="115"/>
      <c r="G155" s="115"/>
      <c r="H155" s="115">
        <f>SUM(H99:H154)</f>
        <v>5587658.6436521485</v>
      </c>
      <c r="I155" s="115">
        <f>SUM(I99:I154)</f>
        <v>5587658.6436521485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4" t="s">
        <v>148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78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79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1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F4B4D0F7-056F-4CFA-B6E2-D9B59E5EE6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28</vt:i4>
      </vt:variant>
    </vt:vector>
  </HeadingPairs>
  <TitlesOfParts>
    <vt:vector size="60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>AEP Internal</cp:keywords>
  <cp:lastModifiedBy>s177040</cp:lastModifiedBy>
  <cp:lastPrinted>2019-05-20T13:24:17Z</cp:lastPrinted>
  <dcterms:created xsi:type="dcterms:W3CDTF">2009-05-11T14:02:48Z</dcterms:created>
  <dcterms:modified xsi:type="dcterms:W3CDTF">2019-05-28T13:00:49Z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b2c80a7b-f289-41ae-b128-3b3f639b0f35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